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COMPTABILISATION BULLETINS DE PAIE\"/>
    </mc:Choice>
  </mc:AlternateContent>
  <xr:revisionPtr revIDLastSave="0" documentId="13_ncr:1_{EFF81210-3034-48B3-9E9B-5203BEF5A225}" xr6:coauthVersionLast="47" xr6:coauthVersionMax="47" xr10:uidLastSave="{00000000-0000-0000-0000-000000000000}"/>
  <bookViews>
    <workbookView xWindow="-120" yWindow="-120" windowWidth="20730" windowHeight="11040" firstSheet="10" activeTab="11" xr2:uid="{00000000-000D-0000-FFFF-FFFF00000000}"/>
  </bookViews>
  <sheets>
    <sheet name="PRESENTATION " sheetId="64" r:id="rId1"/>
    <sheet name="MATRICE IJSS ABSENCE " sheetId="65" r:id="rId2"/>
    <sheet name="INTRODUCTION " sheetId="66" r:id="rId3"/>
    <sheet name="BRC 1" sheetId="68" r:id="rId4"/>
    <sheet name="BRC 2" sheetId="69" r:id="rId5"/>
    <sheet name="Masque de Saisie" sheetId="55" r:id="rId6"/>
    <sheet name="BP VERSION JANVIER 2023" sheetId="31" r:id="rId7"/>
    <sheet name="RGDU Version Janvier " sheetId="60" r:id="rId8"/>
    <sheet name="BP FORMAT JUILLET 2023" sheetId="51" r:id="rId9"/>
    <sheet name="RGDU Format Juillet " sheetId="52" r:id="rId10"/>
    <sheet name="FEUILLE DE CONTROLE " sheetId="67" r:id="rId11"/>
    <sheet name="HEURES SUPPLEMENTAIRES " sheetId="33" r:id="rId12"/>
    <sheet name="COMPTABILISATION 2026" sheetId="75" r:id="rId13"/>
    <sheet name="PRECISIONS " sheetId="80" r:id="rId14"/>
    <sheet name="DISPATCH RGDU 2026 " sheetId="77" r:id="rId15"/>
    <sheet name="DISPATCH ET DSN " sheetId="81" r:id="rId16"/>
    <sheet name="DSN  URSSAF PREP " sheetId="70" r:id="rId17"/>
    <sheet name="TABLE DES TAUX 2026 " sheetId="50" r:id="rId18"/>
    <sheet name="TAUX NEUTRE " sheetId="24" r:id="rId19"/>
    <sheet name="TAUX NEUTRE JANVIER " sheetId="78" r:id="rId20"/>
    <sheet name="TAUX NEUTRE MAI" sheetId="79" r:id="rId21"/>
  </sheets>
  <externalReferences>
    <externalReference r:id="rId22"/>
    <externalReference r:id="rId23"/>
    <externalReference r:id="rId24"/>
    <externalReference r:id="rId25"/>
    <externalReference r:id="rId26"/>
    <externalReference r:id="rId27"/>
    <externalReference r:id="rId28"/>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2026 '!$A$1:$D$58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0" l="1"/>
  <c r="C44" i="52"/>
  <c r="N38" i="70"/>
  <c r="N36" i="70"/>
  <c r="N30" i="70"/>
  <c r="N31" i="70"/>
  <c r="N32" i="70"/>
  <c r="N33" i="70"/>
  <c r="N34" i="70"/>
  <c r="N35" i="70"/>
  <c r="N37" i="70"/>
  <c r="N29" i="70"/>
  <c r="N25" i="70"/>
  <c r="N26" i="70"/>
  <c r="N24" i="70"/>
  <c r="N16" i="70"/>
  <c r="N17" i="70"/>
  <c r="N18" i="70"/>
  <c r="N19" i="70"/>
  <c r="N20" i="70"/>
  <c r="N21" i="70"/>
  <c r="N22" i="70"/>
  <c r="N15" i="70"/>
  <c r="N13" i="70"/>
  <c r="N23" i="70"/>
  <c r="L23" i="70"/>
  <c r="L27" i="70"/>
  <c r="K27" i="70"/>
  <c r="N27" i="70" s="1"/>
  <c r="F7" i="81"/>
  <c r="F6" i="81"/>
  <c r="E6" i="81"/>
  <c r="Q19" i="70"/>
  <c r="Q38" i="70"/>
  <c r="Q34" i="70"/>
  <c r="Q31" i="70"/>
  <c r="Q22" i="70"/>
  <c r="Q21" i="70"/>
  <c r="Q20" i="70"/>
  <c r="L20" i="70"/>
  <c r="K20" i="70"/>
  <c r="C33" i="51"/>
  <c r="G21" i="51"/>
  <c r="J20" i="51"/>
  <c r="J19" i="51"/>
  <c r="J18" i="51"/>
  <c r="J13" i="51"/>
  <c r="F57" i="77"/>
  <c r="D57" i="77"/>
  <c r="I21" i="51" l="1"/>
  <c r="J21" i="51" s="1"/>
  <c r="J33" i="51" s="1"/>
  <c r="I13" i="51"/>
  <c r="E20" i="52" l="1"/>
  <c r="E23" i="52"/>
  <c r="E22" i="52"/>
  <c r="E23" i="60"/>
  <c r="E22" i="60"/>
  <c r="E50" i="55"/>
  <c r="E44" i="55"/>
  <c r="E43" i="55"/>
  <c r="E60" i="50"/>
  <c r="C60" i="50"/>
  <c r="E57" i="50"/>
  <c r="C57" i="50"/>
  <c r="A26" i="79" l="1"/>
  <c r="A25" i="79"/>
  <c r="A24" i="79"/>
  <c r="A23" i="79"/>
  <c r="A22" i="79"/>
  <c r="A21" i="79"/>
  <c r="A20" i="79"/>
  <c r="A19" i="79"/>
  <c r="A18" i="79"/>
  <c r="A17" i="79"/>
  <c r="A16" i="79"/>
  <c r="A15" i="79"/>
  <c r="A14" i="79"/>
  <c r="A13" i="79"/>
  <c r="H12" i="79"/>
  <c r="A12" i="79"/>
  <c r="H11" i="79"/>
  <c r="D26" i="79" s="1"/>
  <c r="A11" i="79"/>
  <c r="A10" i="79"/>
  <c r="A9" i="79"/>
  <c r="A8" i="79"/>
  <c r="B50" i="78"/>
  <c r="E50" i="78" s="1"/>
  <c r="B49" i="78"/>
  <c r="E49" i="78" s="1"/>
  <c r="B48" i="78"/>
  <c r="E48" i="78" s="1"/>
  <c r="E47" i="78"/>
  <c r="B47" i="78"/>
  <c r="B46" i="78"/>
  <c r="E46" i="78" s="1"/>
  <c r="B45" i="78"/>
  <c r="E45" i="78" s="1"/>
  <c r="B44" i="78"/>
  <c r="E44" i="78" s="1"/>
  <c r="E43" i="78"/>
  <c r="B43" i="78"/>
  <c r="B42" i="78"/>
  <c r="E42" i="78" s="1"/>
  <c r="B41" i="78"/>
  <c r="E41" i="78" s="1"/>
  <c r="B40" i="78"/>
  <c r="E40" i="78" s="1"/>
  <c r="E39" i="78"/>
  <c r="B39" i="78"/>
  <c r="B38" i="78"/>
  <c r="E38" i="78" s="1"/>
  <c r="B37" i="78"/>
  <c r="E37" i="78" s="1"/>
  <c r="B36" i="78"/>
  <c r="E36" i="78" s="1"/>
  <c r="E35" i="78"/>
  <c r="B35" i="78"/>
  <c r="B34" i="78"/>
  <c r="E34" i="78" s="1"/>
  <c r="B33" i="78"/>
  <c r="E33" i="78" s="1"/>
  <c r="B32" i="78"/>
  <c r="E32" i="78" s="1"/>
  <c r="E31" i="78"/>
  <c r="E51" i="78" s="1"/>
  <c r="B26" i="78"/>
  <c r="B25" i="78"/>
  <c r="B24" i="78"/>
  <c r="E23" i="78"/>
  <c r="B23" i="78"/>
  <c r="B22" i="78"/>
  <c r="B21" i="78"/>
  <c r="B20" i="78"/>
  <c r="E19" i="78"/>
  <c r="B19" i="78"/>
  <c r="B18" i="78"/>
  <c r="B17" i="78"/>
  <c r="B16" i="78"/>
  <c r="E15" i="78"/>
  <c r="B15" i="78"/>
  <c r="B14" i="78"/>
  <c r="B13" i="78"/>
  <c r="B12" i="78"/>
  <c r="E12" i="78" s="1"/>
  <c r="H11" i="78"/>
  <c r="E26" i="78" s="1"/>
  <c r="B11" i="78"/>
  <c r="B10" i="78"/>
  <c r="B9" i="78"/>
  <c r="E8" i="78"/>
  <c r="B8" i="78"/>
  <c r="D8" i="79" l="1"/>
  <c r="D15" i="79"/>
  <c r="D19" i="79"/>
  <c r="D23" i="79"/>
  <c r="D12" i="79"/>
  <c r="D9" i="79"/>
  <c r="D16" i="79"/>
  <c r="D20" i="79"/>
  <c r="D24" i="79"/>
  <c r="D7" i="79"/>
  <c r="D18" i="79"/>
  <c r="D10" i="79"/>
  <c r="D13" i="79"/>
  <c r="D17" i="79"/>
  <c r="D21" i="79"/>
  <c r="D25" i="79"/>
  <c r="D11" i="79"/>
  <c r="D14" i="79"/>
  <c r="D22" i="79"/>
  <c r="E9" i="78"/>
  <c r="E16" i="78"/>
  <c r="E20" i="78"/>
  <c r="E24" i="78"/>
  <c r="E10" i="78"/>
  <c r="E13" i="78"/>
  <c r="E17" i="78"/>
  <c r="E21" i="78"/>
  <c r="E25" i="78"/>
  <c r="E7" i="78"/>
  <c r="E11" i="78"/>
  <c r="E14" i="78"/>
  <c r="E18" i="78"/>
  <c r="E22" i="78"/>
  <c r="D27" i="79" l="1"/>
  <c r="E27" i="78"/>
  <c r="H12" i="78" s="1"/>
  <c r="E46" i="55" l="1"/>
  <c r="Q36" i="70" l="1"/>
  <c r="K17" i="70"/>
  <c r="K30" i="70"/>
  <c r="K32" i="70"/>
  <c r="F88" i="75"/>
  <c r="B51" i="77"/>
  <c r="F49" i="77"/>
  <c r="E47" i="31"/>
  <c r="E49" i="51"/>
  <c r="J5" i="70" s="1"/>
  <c r="K5" i="70" s="1"/>
  <c r="D126" i="51"/>
  <c r="K31" i="70" s="1"/>
  <c r="D110" i="31"/>
  <c r="C92" i="75"/>
  <c r="D99" i="75"/>
  <c r="D98" i="75"/>
  <c r="C96" i="75"/>
  <c r="C95" i="75"/>
  <c r="D105" i="75" s="1"/>
  <c r="C93" i="75"/>
  <c r="E51" i="75"/>
  <c r="D49" i="75"/>
  <c r="D47" i="75"/>
  <c r="F46" i="75"/>
  <c r="H46" i="75" s="1"/>
  <c r="H45" i="75"/>
  <c r="C42" i="75"/>
  <c r="C43" i="75" s="1"/>
  <c r="F43" i="75" s="1"/>
  <c r="H43" i="75" s="1"/>
  <c r="A42" i="75"/>
  <c r="G42" i="75" s="1"/>
  <c r="G40" i="75"/>
  <c r="D40" i="75"/>
  <c r="G39" i="75"/>
  <c r="D39" i="75"/>
  <c r="G38" i="75"/>
  <c r="D38" i="75"/>
  <c r="G37" i="75"/>
  <c r="D37" i="75"/>
  <c r="G36" i="75"/>
  <c r="D36" i="75"/>
  <c r="G35" i="75"/>
  <c r="D35" i="75"/>
  <c r="G33" i="75"/>
  <c r="D33" i="75"/>
  <c r="E33" i="75" s="1"/>
  <c r="G32" i="75"/>
  <c r="D32" i="75"/>
  <c r="G31" i="75"/>
  <c r="D31" i="75"/>
  <c r="G30" i="75"/>
  <c r="G29" i="75"/>
  <c r="G28" i="75"/>
  <c r="G27" i="75"/>
  <c r="G26" i="75"/>
  <c r="G25" i="75"/>
  <c r="G24" i="75"/>
  <c r="G23" i="75"/>
  <c r="D23" i="75"/>
  <c r="G22" i="75"/>
  <c r="D22" i="75"/>
  <c r="C22" i="75"/>
  <c r="F26" i="75" s="1"/>
  <c r="G21" i="75"/>
  <c r="D21" i="75"/>
  <c r="E15" i="75"/>
  <c r="E13" i="75"/>
  <c r="D13" i="75" s="1"/>
  <c r="D14" i="75" s="1"/>
  <c r="E14" i="75" s="1"/>
  <c r="E76" i="51"/>
  <c r="E43" i="31"/>
  <c r="E41" i="31"/>
  <c r="D79" i="70"/>
  <c r="D73" i="70"/>
  <c r="C73" i="70"/>
  <c r="B73" i="70"/>
  <c r="C60" i="70"/>
  <c r="C59" i="70"/>
  <c r="C58" i="70"/>
  <c r="C57" i="70"/>
  <c r="C56" i="70"/>
  <c r="C55" i="70"/>
  <c r="Q29" i="70"/>
  <c r="K21" i="70"/>
  <c r="H15" i="70"/>
  <c r="G15" i="70"/>
  <c r="K15" i="70" s="1"/>
  <c r="Q14" i="70"/>
  <c r="L7" i="70"/>
  <c r="AE27" i="69"/>
  <c r="AD27" i="69"/>
  <c r="AF27" i="69" s="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C43" i="65"/>
  <c r="C40" i="65"/>
  <c r="C39" i="65"/>
  <c r="C38" i="65"/>
  <c r="C48" i="65" s="1"/>
  <c r="C37" i="65"/>
  <c r="C41" i="65" s="1"/>
  <c r="C36" i="65"/>
  <c r="C19" i="65"/>
  <c r="F24" i="65" s="1"/>
  <c r="C18" i="65"/>
  <c r="C16" i="65"/>
  <c r="C11" i="65"/>
  <c r="E7" i="65"/>
  <c r="E5" i="65"/>
  <c r="C14" i="65"/>
  <c r="C42" i="65"/>
  <c r="F42" i="75" l="1"/>
  <c r="H42" i="75" s="1"/>
  <c r="E22" i="75"/>
  <c r="F22" i="75"/>
  <c r="H22" i="75" s="1"/>
  <c r="H26" i="75"/>
  <c r="E43" i="75"/>
  <c r="D42" i="75"/>
  <c r="E42" i="75" s="1"/>
  <c r="E17" i="75"/>
  <c r="C31" i="75"/>
  <c r="E51" i="24"/>
  <c r="C49" i="65"/>
  <c r="F25" i="65"/>
  <c r="G24" i="65"/>
  <c r="C15" i="65"/>
  <c r="C44" i="65"/>
  <c r="C51" i="65"/>
  <c r="C52" i="65"/>
  <c r="C53" i="65" s="1"/>
  <c r="C54" i="65"/>
  <c r="C13" i="65"/>
  <c r="G29" i="65" s="1"/>
  <c r="C50" i="65"/>
  <c r="C55" i="65"/>
  <c r="C47" i="75" l="1"/>
  <c r="C21" i="75"/>
  <c r="C32" i="75"/>
  <c r="C56" i="75"/>
  <c r="F21" i="75"/>
  <c r="H21" i="75" s="1"/>
  <c r="F31" i="75"/>
  <c r="H31" i="75" s="1"/>
  <c r="E31" i="75"/>
  <c r="C35" i="75"/>
  <c r="C36" i="75"/>
  <c r="C58" i="65"/>
  <c r="C56" i="65"/>
  <c r="C57" i="65" s="1"/>
  <c r="G25" i="65"/>
  <c r="F26" i="65"/>
  <c r="G26" i="65" s="1"/>
  <c r="F32" i="75" l="1"/>
  <c r="H32" i="75" s="1"/>
  <c r="E32" i="75"/>
  <c r="C37" i="75"/>
  <c r="F36" i="75"/>
  <c r="H36" i="75" s="1"/>
  <c r="E36" i="75"/>
  <c r="E21" i="75"/>
  <c r="C39" i="75"/>
  <c r="C40" i="75"/>
  <c r="F33" i="75"/>
  <c r="H33" i="75" s="1"/>
  <c r="C23" i="75"/>
  <c r="E35" i="75"/>
  <c r="F35" i="75"/>
  <c r="H35" i="75" s="1"/>
  <c r="C49" i="75"/>
  <c r="E49" i="75" s="1"/>
  <c r="E47" i="75"/>
  <c r="G27" i="65"/>
  <c r="G28" i="65" s="1"/>
  <c r="H84" i="50"/>
  <c r="E79" i="50"/>
  <c r="D79" i="50"/>
  <c r="E73" i="50"/>
  <c r="D73" i="50"/>
  <c r="C73" i="50"/>
  <c r="B73" i="50"/>
  <c r="E39" i="75" l="1"/>
  <c r="F39" i="75"/>
  <c r="H39" i="75" s="1"/>
  <c r="C38" i="75"/>
  <c r="F37" i="75"/>
  <c r="H37" i="75" s="1"/>
  <c r="E37" i="75"/>
  <c r="F23" i="75"/>
  <c r="E23" i="75"/>
  <c r="F40" i="75"/>
  <c r="H40" i="75" s="1"/>
  <c r="E40" i="75"/>
  <c r="G30" i="65"/>
  <c r="G31" i="65" s="1"/>
  <c r="F38" i="75" l="1"/>
  <c r="H38" i="75" s="1"/>
  <c r="E38" i="75"/>
  <c r="E48" i="75" s="1"/>
  <c r="F24" i="75"/>
  <c r="H23" i="75"/>
  <c r="G32" i="65"/>
  <c r="G33" i="65"/>
  <c r="E50" i="75" l="1"/>
  <c r="H52" i="75" s="1"/>
  <c r="C57" i="75"/>
  <c r="H57" i="75"/>
  <c r="C60" i="75" s="1"/>
  <c r="F25" i="75"/>
  <c r="H25" i="75" s="1"/>
  <c r="F28" i="75"/>
  <c r="H24" i="75"/>
  <c r="F27" i="75"/>
  <c r="H27" i="75" s="1"/>
  <c r="G21" i="31"/>
  <c r="J20" i="31"/>
  <c r="J19" i="31"/>
  <c r="J18" i="31"/>
  <c r="J13" i="31"/>
  <c r="I21" i="31" s="1"/>
  <c r="G47" i="51"/>
  <c r="G48" i="51"/>
  <c r="F81" i="51"/>
  <c r="C94" i="75" s="1"/>
  <c r="G80" i="51"/>
  <c r="C78" i="75" s="1"/>
  <c r="F80" i="51"/>
  <c r="D103" i="75" s="1"/>
  <c r="F29" i="75" l="1"/>
  <c r="H28" i="75"/>
  <c r="I13" i="31"/>
  <c r="J21" i="31"/>
  <c r="F30" i="75" l="1"/>
  <c r="H30" i="75" s="1"/>
  <c r="H29" i="75"/>
  <c r="H48" i="75" l="1"/>
  <c r="C58" i="75" s="1"/>
  <c r="G13" i="67"/>
  <c r="D76" i="51" l="1"/>
  <c r="E75" i="51"/>
  <c r="D75" i="51"/>
  <c r="E43" i="51"/>
  <c r="D43" i="51"/>
  <c r="E40" i="51"/>
  <c r="D40" i="51"/>
  <c r="D41" i="31"/>
  <c r="E38" i="31"/>
  <c r="D38" i="31"/>
  <c r="E40" i="31"/>
  <c r="D40" i="31"/>
  <c r="E39" i="31"/>
  <c r="D39" i="31"/>
  <c r="A147" i="33"/>
  <c r="C33" i="31" l="1"/>
  <c r="E89" i="33"/>
  <c r="E88" i="33"/>
  <c r="D10" i="51"/>
  <c r="D10" i="31"/>
  <c r="E42" i="31"/>
  <c r="D43" i="31"/>
  <c r="D78" i="51"/>
  <c r="G11" i="31"/>
  <c r="J10" i="31"/>
  <c r="H10" i="31"/>
  <c r="J9" i="31"/>
  <c r="I9" i="31"/>
  <c r="C9" i="31"/>
  <c r="B9" i="31"/>
  <c r="G8" i="31"/>
  <c r="G7" i="31"/>
  <c r="B7" i="31"/>
  <c r="G6" i="31"/>
  <c r="B6" i="31"/>
  <c r="G5" i="31"/>
  <c r="G4" i="31"/>
  <c r="B4" i="31"/>
  <c r="G3" i="31"/>
  <c r="B3" i="31"/>
  <c r="F75" i="31"/>
  <c r="G11" i="67" s="1"/>
  <c r="G74" i="31"/>
  <c r="F74" i="31"/>
  <c r="G10" i="67" s="1"/>
  <c r="C125" i="33"/>
  <c r="D129" i="33" s="1"/>
  <c r="G11" i="51"/>
  <c r="J10" i="51"/>
  <c r="H10" i="51"/>
  <c r="J9" i="51"/>
  <c r="I9" i="51"/>
  <c r="G7" i="51"/>
  <c r="G6" i="51"/>
  <c r="G5" i="51"/>
  <c r="G8" i="51"/>
  <c r="G4" i="51"/>
  <c r="G3" i="51"/>
  <c r="E118" i="55"/>
  <c r="F118" i="55" s="1"/>
  <c r="E117" i="55"/>
  <c r="F117" i="55" s="1"/>
  <c r="E21" i="60" l="1"/>
  <c r="C36" i="60" s="1"/>
  <c r="C117" i="31"/>
  <c r="C10" i="24"/>
  <c r="B11" i="24" s="1"/>
  <c r="C14" i="24"/>
  <c r="B15" i="24" s="1"/>
  <c r="C18" i="24"/>
  <c r="B19" i="24" s="1"/>
  <c r="C22" i="24"/>
  <c r="B23" i="24" s="1"/>
  <c r="C26" i="24"/>
  <c r="C21" i="24"/>
  <c r="B22" i="24" s="1"/>
  <c r="C11" i="24"/>
  <c r="B12" i="24" s="1"/>
  <c r="C15" i="24"/>
  <c r="B16" i="24" s="1"/>
  <c r="C19" i="24"/>
  <c r="B20" i="24" s="1"/>
  <c r="C23" i="24"/>
  <c r="B24" i="24" s="1"/>
  <c r="C7" i="24"/>
  <c r="B8" i="24" s="1"/>
  <c r="C13" i="24"/>
  <c r="B14" i="24" s="1"/>
  <c r="C17" i="24"/>
  <c r="B18" i="24" s="1"/>
  <c r="C8" i="24"/>
  <c r="B9" i="24" s="1"/>
  <c r="C12" i="24"/>
  <c r="B13" i="24" s="1"/>
  <c r="C16" i="24"/>
  <c r="B17" i="24" s="1"/>
  <c r="C20" i="24"/>
  <c r="B21" i="24" s="1"/>
  <c r="C24" i="24"/>
  <c r="B25" i="24" s="1"/>
  <c r="C9" i="24"/>
  <c r="B10" i="24" s="1"/>
  <c r="C25" i="24"/>
  <c r="B26" i="24" s="1"/>
  <c r="J33" i="31"/>
  <c r="E25" i="60" s="1"/>
  <c r="C38" i="60" s="1"/>
  <c r="C116" i="31" l="1"/>
  <c r="C38" i="31"/>
  <c r="G17" i="67"/>
  <c r="G8" i="67"/>
  <c r="C43" i="31"/>
  <c r="G43" i="31" s="1"/>
  <c r="C113" i="31" s="1"/>
  <c r="C42" i="31"/>
  <c r="C91" i="75" l="1"/>
  <c r="C106" i="75" s="1"/>
  <c r="E25" i="52"/>
  <c r="C38" i="52" s="1"/>
  <c r="G36" i="67"/>
  <c r="L17" i="70"/>
  <c r="L13" i="70"/>
  <c r="L15" i="70"/>
  <c r="C43" i="51"/>
  <c r="D54" i="51"/>
  <c r="E54" i="51"/>
  <c r="E53" i="51"/>
  <c r="D53" i="51"/>
  <c r="F43" i="31"/>
  <c r="E85" i="33"/>
  <c r="B57" i="33"/>
  <c r="C78" i="51"/>
  <c r="E8" i="77" l="1"/>
  <c r="D52" i="77"/>
  <c r="F52" i="77" s="1"/>
  <c r="Q15" i="70"/>
  <c r="G8" i="77"/>
  <c r="B10" i="51"/>
  <c r="E24" i="52" s="1"/>
  <c r="C37" i="52" s="1"/>
  <c r="C39" i="52" s="1"/>
  <c r="C40" i="52" s="1"/>
  <c r="C41" i="52" s="1"/>
  <c r="C42" i="52" s="1"/>
  <c r="G78" i="51"/>
  <c r="C129" i="51" s="1"/>
  <c r="L16" i="70" s="1"/>
  <c r="F78" i="51"/>
  <c r="B10" i="31"/>
  <c r="E24" i="60" s="1"/>
  <c r="C37" i="60" s="1"/>
  <c r="C39" i="60" s="1"/>
  <c r="C40" i="60" s="1"/>
  <c r="C41" i="60" s="1"/>
  <c r="C42" i="60" s="1"/>
  <c r="C43" i="60" s="1"/>
  <c r="C45" i="60" s="1"/>
  <c r="G71" i="31" s="1"/>
  <c r="C49" i="67" s="1"/>
  <c r="E90" i="31"/>
  <c r="C39" i="31" l="1"/>
  <c r="B9" i="51"/>
  <c r="E21" i="52" s="1"/>
  <c r="C36" i="52" s="1"/>
  <c r="B7" i="51"/>
  <c r="B6" i="51"/>
  <c r="B4" i="51"/>
  <c r="B3" i="51"/>
  <c r="E123" i="51"/>
  <c r="E90" i="33"/>
  <c r="D130" i="33" s="1"/>
  <c r="F44" i="33"/>
  <c r="F45" i="33"/>
  <c r="F46" i="33"/>
  <c r="F47" i="33"/>
  <c r="D108" i="31"/>
  <c r="D67" i="31"/>
  <c r="D70" i="31" s="1"/>
  <c r="D112" i="31"/>
  <c r="D113" i="31"/>
  <c r="E113" i="31" s="1"/>
  <c r="D114" i="31"/>
  <c r="D115" i="31"/>
  <c r="D116" i="31"/>
  <c r="D117" i="31"/>
  <c r="D118" i="31"/>
  <c r="D111" i="31"/>
  <c r="D109" i="31"/>
  <c r="C109" i="31"/>
  <c r="C118" i="31"/>
  <c r="D66" i="31"/>
  <c r="D68" i="31" s="1"/>
  <c r="D69" i="31" s="1"/>
  <c r="E63" i="31"/>
  <c r="D63" i="31"/>
  <c r="E61" i="31"/>
  <c r="E58" i="31"/>
  <c r="E50" i="31"/>
  <c r="E49" i="31"/>
  <c r="D50" i="31"/>
  <c r="D49" i="31"/>
  <c r="E44" i="51"/>
  <c r="E36" i="31"/>
  <c r="C43" i="52" l="1"/>
  <c r="C45" i="52" s="1"/>
  <c r="E109" i="31"/>
  <c r="E118" i="31"/>
  <c r="E117" i="31"/>
  <c r="G71" i="51" l="1"/>
  <c r="E49" i="67" s="1"/>
  <c r="G49" i="67" s="1"/>
  <c r="C11" i="77"/>
  <c r="C41" i="31"/>
  <c r="B90" i="31"/>
  <c r="F38" i="31"/>
  <c r="G38" i="31"/>
  <c r="G19" i="67" s="1"/>
  <c r="C110" i="31"/>
  <c r="E110" i="31" s="1"/>
  <c r="C108" i="31"/>
  <c r="E108" i="31" s="1"/>
  <c r="E116" i="31"/>
  <c r="C114" i="31"/>
  <c r="C111" i="31"/>
  <c r="E111" i="31" s="1"/>
  <c r="G39" i="51"/>
  <c r="G41" i="51"/>
  <c r="G42" i="51"/>
  <c r="G62" i="51"/>
  <c r="F39" i="51"/>
  <c r="F41" i="51"/>
  <c r="F42" i="51"/>
  <c r="F47" i="51"/>
  <c r="F48" i="51"/>
  <c r="F55" i="51"/>
  <c r="F56" i="51"/>
  <c r="F62" i="51"/>
  <c r="F71" i="51"/>
  <c r="D66" i="51"/>
  <c r="D67" i="51"/>
  <c r="D70" i="51" s="1"/>
  <c r="E63" i="51"/>
  <c r="D63" i="51"/>
  <c r="E61" i="51"/>
  <c r="F48" i="77" s="1"/>
  <c r="D129" i="51"/>
  <c r="E129" i="51" s="1"/>
  <c r="D125" i="51"/>
  <c r="D127" i="51"/>
  <c r="D50" i="77" s="1"/>
  <c r="F50" i="77" s="1"/>
  <c r="D128" i="51"/>
  <c r="D130" i="51"/>
  <c r="D131" i="51"/>
  <c r="D132" i="51"/>
  <c r="K34" i="70" s="1"/>
  <c r="D133" i="51"/>
  <c r="K33" i="70" s="1"/>
  <c r="D134" i="51"/>
  <c r="D124" i="51"/>
  <c r="D51" i="77" s="1"/>
  <c r="E58" i="51"/>
  <c r="E55" i="51"/>
  <c r="G55" i="51" s="1"/>
  <c r="E56" i="51"/>
  <c r="G56" i="51" s="1"/>
  <c r="E45" i="51"/>
  <c r="G45" i="51" s="1"/>
  <c r="E46" i="51"/>
  <c r="G46" i="51" s="1"/>
  <c r="E51" i="51"/>
  <c r="D45" i="77" s="1"/>
  <c r="E52" i="51"/>
  <c r="E37" i="51"/>
  <c r="I19" i="70" l="1"/>
  <c r="K19" i="70" s="1"/>
  <c r="J8" i="70"/>
  <c r="D46" i="77"/>
  <c r="F46" i="77" s="1"/>
  <c r="D47" i="77"/>
  <c r="F47" i="77" s="1"/>
  <c r="J9" i="70"/>
  <c r="K9" i="70" s="1"/>
  <c r="D44" i="77"/>
  <c r="J6" i="70"/>
  <c r="K6" i="70" s="1"/>
  <c r="F45" i="77"/>
  <c r="E51" i="31"/>
  <c r="G31" i="67"/>
  <c r="D69" i="51"/>
  <c r="D68" i="51"/>
  <c r="C115" i="31"/>
  <c r="E115" i="31" s="1"/>
  <c r="E114" i="31"/>
  <c r="D52" i="51"/>
  <c r="D45" i="51"/>
  <c r="F45" i="51" s="1"/>
  <c r="D46" i="51"/>
  <c r="F46" i="51" s="1"/>
  <c r="D51" i="51"/>
  <c r="D40" i="33" s="1"/>
  <c r="C113" i="51"/>
  <c r="C104" i="51"/>
  <c r="Q60" i="51"/>
  <c r="E7" i="77" l="1"/>
  <c r="D53" i="77"/>
  <c r="F44" i="77"/>
  <c r="F53" i="77" s="1"/>
  <c r="D41" i="33"/>
  <c r="I8" i="70"/>
  <c r="K8" i="70" s="1"/>
  <c r="K13" i="70" s="1"/>
  <c r="G37" i="67"/>
  <c r="K10" i="70" l="1"/>
  <c r="G7" i="77"/>
  <c r="G9" i="77" s="1"/>
  <c r="H8" i="77" s="1"/>
  <c r="Q13" i="70"/>
  <c r="C125" i="51"/>
  <c r="C134" i="51"/>
  <c r="E134" i="51" s="1"/>
  <c r="C71" i="75" s="1"/>
  <c r="E125" i="51" l="1"/>
  <c r="L18" i="70"/>
  <c r="H7" i="77"/>
  <c r="H9" i="77" s="1"/>
  <c r="C57" i="33" l="1"/>
  <c r="C133" i="51"/>
  <c r="E133" i="51" l="1"/>
  <c r="L33" i="70"/>
  <c r="E57" i="33"/>
  <c r="D42" i="33"/>
  <c r="D51" i="31"/>
  <c r="C75" i="51"/>
  <c r="C40" i="51"/>
  <c r="C44" i="51"/>
  <c r="C61" i="51"/>
  <c r="C76" i="51"/>
  <c r="B97" i="51"/>
  <c r="C49" i="51"/>
  <c r="G49" i="51" s="1"/>
  <c r="L5" i="70" s="1"/>
  <c r="C130" i="51"/>
  <c r="C126" i="51"/>
  <c r="C58" i="51"/>
  <c r="G58" i="51" s="1"/>
  <c r="L9" i="70" s="1"/>
  <c r="E52" i="31"/>
  <c r="C53" i="51"/>
  <c r="C52" i="51"/>
  <c r="C51" i="51"/>
  <c r="C132" i="51"/>
  <c r="C37" i="51"/>
  <c r="G37" i="51" s="1"/>
  <c r="L6" i="70" s="1"/>
  <c r="C54" i="51"/>
  <c r="C127" i="51"/>
  <c r="C124" i="51"/>
  <c r="D112" i="51"/>
  <c r="D103" i="51"/>
  <c r="E126" i="51" l="1"/>
  <c r="C69" i="75" s="1"/>
  <c r="L31" i="70"/>
  <c r="E132" i="51"/>
  <c r="C68" i="75" s="1"/>
  <c r="L34" i="70"/>
  <c r="Q33" i="70"/>
  <c r="E127" i="51"/>
  <c r="L22" i="70"/>
  <c r="E124" i="51"/>
  <c r="C70" i="75" s="1"/>
  <c r="L21" i="70"/>
  <c r="L30" i="70"/>
  <c r="L32" i="70"/>
  <c r="E91" i="33"/>
  <c r="D131" i="33"/>
  <c r="G20" i="67" s="1"/>
  <c r="G57" i="33"/>
  <c r="D132" i="33" s="1"/>
  <c r="F44" i="51"/>
  <c r="G44" i="51"/>
  <c r="G40" i="51"/>
  <c r="F40" i="51"/>
  <c r="C72" i="51"/>
  <c r="B96" i="51" s="1"/>
  <c r="G43" i="51"/>
  <c r="F43" i="51"/>
  <c r="E43" i="33"/>
  <c r="G54" i="51"/>
  <c r="F54" i="51"/>
  <c r="E40" i="33"/>
  <c r="F40" i="33" s="1"/>
  <c r="G51" i="51"/>
  <c r="F51" i="51"/>
  <c r="E41" i="33"/>
  <c r="F41" i="33" s="1"/>
  <c r="G52" i="51"/>
  <c r="F52" i="51"/>
  <c r="E42" i="33"/>
  <c r="F42" i="33" s="1"/>
  <c r="G53" i="51"/>
  <c r="F53" i="51"/>
  <c r="D43" i="33"/>
  <c r="D52" i="31"/>
  <c r="C131" i="51"/>
  <c r="E130" i="51"/>
  <c r="Q17" i="70" s="1"/>
  <c r="C63" i="51"/>
  <c r="G61" i="51"/>
  <c r="D104" i="51"/>
  <c r="D105" i="51" s="1"/>
  <c r="D113" i="51"/>
  <c r="L8" i="70" l="1"/>
  <c r="L10" i="70" s="1"/>
  <c r="E131" i="51"/>
  <c r="C66" i="75" s="1"/>
  <c r="C67" i="75" s="1"/>
  <c r="L35" i="70"/>
  <c r="L37" i="70"/>
  <c r="Q30" i="70"/>
  <c r="Q32" i="70"/>
  <c r="E86" i="33"/>
  <c r="E87" i="33" s="1"/>
  <c r="J89" i="51"/>
  <c r="F43" i="33"/>
  <c r="F49" i="33" s="1"/>
  <c r="F50" i="33" s="1"/>
  <c r="F141" i="33"/>
  <c r="C72" i="31" s="1"/>
  <c r="D133" i="33"/>
  <c r="E98" i="33"/>
  <c r="G63" i="51"/>
  <c r="F63" i="51"/>
  <c r="D102" i="75" s="1"/>
  <c r="Q37" i="70" l="1"/>
  <c r="Q35" i="70"/>
  <c r="C77" i="75"/>
  <c r="F137" i="33"/>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9" i="31" s="1"/>
  <c r="C68" i="31"/>
  <c r="C70" i="51"/>
  <c r="F68" i="51"/>
  <c r="G69" i="31"/>
  <c r="F69" i="31"/>
  <c r="F70" i="51" l="1"/>
  <c r="E96" i="33" s="1"/>
  <c r="J88" i="51"/>
  <c r="E94" i="33"/>
  <c r="D72" i="51"/>
  <c r="F72" i="51" s="1"/>
  <c r="E72" i="31"/>
  <c r="F72" i="31" s="1"/>
  <c r="C70" i="31"/>
  <c r="F68" i="31"/>
  <c r="G68" i="31"/>
  <c r="F70" i="31" l="1"/>
  <c r="G70" i="31"/>
  <c r="G42" i="31" l="1"/>
  <c r="F42" i="31"/>
  <c r="F41" i="31"/>
  <c r="G41" i="31"/>
  <c r="G33" i="67" s="1"/>
  <c r="G38" i="67" l="1"/>
  <c r="G39" i="67" s="1"/>
  <c r="G34" i="67"/>
  <c r="C112" i="31"/>
  <c r="E112" i="31" l="1"/>
  <c r="E119" i="31" s="1"/>
  <c r="G64" i="31" s="1"/>
  <c r="H34" i="67"/>
  <c r="C45" i="67" s="1"/>
  <c r="G73" i="31" l="1"/>
  <c r="B89" i="75" l="1"/>
  <c r="C47" i="67"/>
  <c r="J84" i="31"/>
  <c r="F76" i="51" l="1"/>
  <c r="G76" i="51"/>
  <c r="F75" i="51"/>
  <c r="G75" i="51"/>
  <c r="C75" i="75" l="1"/>
  <c r="D82" i="75" s="1"/>
  <c r="D101" i="75"/>
  <c r="E99" i="33"/>
  <c r="D134" i="33" s="1"/>
  <c r="F136" i="33" s="1"/>
  <c r="C128" i="51"/>
  <c r="L25" i="70" s="1"/>
  <c r="Q25" i="70" l="1"/>
  <c r="C66" i="51"/>
  <c r="E128" i="51"/>
  <c r="I34" i="67"/>
  <c r="E45" i="67" s="1"/>
  <c r="G45" i="67" s="1"/>
  <c r="F139" i="33"/>
  <c r="C66" i="31"/>
  <c r="H39" i="67" s="1"/>
  <c r="C48" i="67" s="1"/>
  <c r="E135" i="51" l="1"/>
  <c r="C72" i="75"/>
  <c r="D85" i="75" s="1"/>
  <c r="I39" i="67"/>
  <c r="E48" i="67" s="1"/>
  <c r="G48" i="67" s="1"/>
  <c r="L19" i="70"/>
  <c r="C67" i="51"/>
  <c r="F67" i="51" s="1"/>
  <c r="E93" i="33" s="1"/>
  <c r="D108" i="51"/>
  <c r="D117" i="51"/>
  <c r="E115" i="51" s="1"/>
  <c r="F66" i="51"/>
  <c r="C73" i="75" l="1"/>
  <c r="G64" i="51"/>
  <c r="G73" i="51" s="1"/>
  <c r="B88" i="75" s="1"/>
  <c r="E92" i="33"/>
  <c r="F73" i="51"/>
  <c r="D100" i="75" l="1"/>
  <c r="J44" i="70" s="1"/>
  <c r="E47" i="67"/>
  <c r="G47" i="67" s="1"/>
  <c r="J93" i="51"/>
  <c r="F79" i="51"/>
  <c r="J86" i="51"/>
  <c r="I14" i="67" s="1"/>
  <c r="E42" i="67" s="1"/>
  <c r="E46" i="67"/>
  <c r="E97" i="33"/>
  <c r="E100" i="33" s="1"/>
  <c r="J87" i="51" l="1"/>
  <c r="D91" i="51" s="1"/>
  <c r="H11" i="24" s="1"/>
  <c r="J86" i="31"/>
  <c r="D83" i="31" s="1"/>
  <c r="E23" i="24" l="1"/>
  <c r="E16" i="24"/>
  <c r="E7" i="24"/>
  <c r="E24" i="24"/>
  <c r="E14" i="24"/>
  <c r="E15" i="24"/>
  <c r="E10" i="24"/>
  <c r="E18" i="24"/>
  <c r="E19" i="24"/>
  <c r="E22" i="24"/>
  <c r="E17" i="24"/>
  <c r="E21" i="24"/>
  <c r="E8" i="24"/>
  <c r="E20" i="24"/>
  <c r="E11" i="24"/>
  <c r="E26" i="24"/>
  <c r="E13" i="24"/>
  <c r="E12" i="24"/>
  <c r="E9" i="24"/>
  <c r="E25" i="24"/>
  <c r="I22" i="67"/>
  <c r="E43" i="67" s="1"/>
  <c r="B98" i="51"/>
  <c r="E27" i="24" l="1"/>
  <c r="H12" i="24" s="1"/>
  <c r="I28" i="67"/>
  <c r="E44" i="67" s="1"/>
  <c r="F66" i="31"/>
  <c r="C67" i="31"/>
  <c r="F67" i="31" s="1"/>
  <c r="G21" i="67" s="1"/>
  <c r="D128" i="31"/>
  <c r="F126" i="31" s="1"/>
  <c r="J79" i="31" s="1"/>
  <c r="F91" i="51" l="1"/>
  <c r="F83" i="31"/>
  <c r="F73" i="31"/>
  <c r="C46" i="67" s="1"/>
  <c r="G46" i="67" s="1"/>
  <c r="H91" i="51" l="1"/>
  <c r="G25" i="67"/>
  <c r="G28" i="67" s="1"/>
  <c r="C44" i="67" s="1"/>
  <c r="G44" i="67" s="1"/>
  <c r="H22" i="67"/>
  <c r="J78" i="31"/>
  <c r="H14" i="67" s="1"/>
  <c r="C42" i="67" s="1"/>
  <c r="G42" i="67" s="1"/>
  <c r="G18" i="67"/>
  <c r="G22" i="67" s="1"/>
  <c r="G9" i="67"/>
  <c r="G14" i="67" s="1"/>
  <c r="B91" i="31"/>
  <c r="C43" i="67" l="1"/>
  <c r="G43" i="67" s="1"/>
  <c r="J22" i="67"/>
  <c r="J92" i="51"/>
  <c r="D97" i="75" s="1"/>
  <c r="B95" i="51"/>
  <c r="H83" i="31"/>
  <c r="D104" i="75" s="1"/>
  <c r="H28" i="67"/>
  <c r="B88" i="31" l="1"/>
  <c r="J85" i="31"/>
  <c r="D106" i="75" l="1"/>
  <c r="D107" i="75" l="1"/>
  <c r="E9" i="77"/>
  <c r="F7" i="77" s="1"/>
  <c r="C15" i="77" l="1"/>
  <c r="B4" i="81" s="1"/>
  <c r="F8" i="81" s="1"/>
  <c r="N28" i="70" s="1"/>
  <c r="F8" i="77"/>
  <c r="C16" i="77" s="1"/>
  <c r="C76" i="75" l="1"/>
  <c r="D81" i="75" s="1"/>
  <c r="B11" i="81"/>
  <c r="C74" i="75"/>
  <c r="D80" i="75" s="1"/>
  <c r="Q28" i="70"/>
  <c r="Q39" i="70" s="1"/>
  <c r="F9" i="77"/>
  <c r="N39" i="70" l="1"/>
  <c r="L51" i="70" s="1"/>
  <c r="C86" i="75"/>
  <c r="D86" i="75"/>
  <c r="F87" i="75" s="1"/>
  <c r="F89" i="75" s="1"/>
  <c r="J43" i="70"/>
  <c r="J45" i="70" s="1"/>
  <c r="P39" i="70" l="1"/>
  <c r="K50" i="70"/>
  <c r="L52" i="7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7CA085F7-029B-4AB0-86D6-230C94AF139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334FA69C-C66C-4432-A31A-ADB5F101825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I36" authorId="0" shapeId="0" xr:uid="{6E53B130-67EB-491C-B2B8-FB5C6492A4B0}">
      <text>
        <r>
          <rPr>
            <sz val="9"/>
            <color indexed="81"/>
            <rFont val="Tahoma"/>
            <family val="2"/>
          </rPr>
          <t>Ces codes sont repris sur le Bordereau de Cotisations URSSAF</t>
        </r>
        <r>
          <rPr>
            <b/>
            <sz val="9"/>
            <color indexed="81"/>
            <rFont val="Tahoma"/>
            <family val="2"/>
          </rPr>
          <t xml:space="preserve"> </t>
        </r>
        <r>
          <rPr>
            <sz val="9"/>
            <color indexed="81"/>
            <rFont val="Tahoma"/>
            <family val="2"/>
          </rPr>
          <t xml:space="preserve">Cf feuilles CTP  et BRC 2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I37" authorId="0" shapeId="0" xr:uid="{FDDB5195-77E3-4C7A-97D3-3C40920FD5CC}">
      <text>
        <r>
          <rPr>
            <sz val="9"/>
            <color indexed="81"/>
            <rFont val="Tahoma"/>
            <family val="2"/>
          </rPr>
          <t>Ces codes sont repris sur le Bordereau de Cotisations URSSAF</t>
        </r>
        <r>
          <rPr>
            <b/>
            <sz val="9"/>
            <color indexed="81"/>
            <rFont val="Tahoma"/>
            <family val="2"/>
          </rPr>
          <t xml:space="preserve"> </t>
        </r>
        <r>
          <rPr>
            <sz val="9"/>
            <color indexed="81"/>
            <rFont val="Tahoma"/>
            <family val="2"/>
          </rPr>
          <t xml:space="preserve">Cf feuilles CTP  et BRC 2 </t>
        </r>
      </text>
    </comment>
    <comment ref="E61" authorId="0" shapeId="0" xr:uid="{A9682C07-C84E-478B-836C-7C5B1B560464}">
      <text>
        <r>
          <rPr>
            <sz val="9"/>
            <color indexed="81"/>
            <rFont val="Tahoma"/>
            <family val="2"/>
          </rPr>
          <t xml:space="preserve">Taux de cotisation de 4 % + 0,25 % à compter du 01/05/2025  au lieu de 4,05 % + 0,25%  auparavant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5" authorId="0" shapeId="0" xr:uid="{82775510-B3C0-4956-9B0C-80EF659191F7}">
      <text>
        <r>
          <rPr>
            <sz val="9"/>
            <color indexed="81"/>
            <rFont val="Tahoma"/>
            <family val="2"/>
          </rPr>
          <t xml:space="preserve">
En cas de non subrogation les IJSS nettes n'apparaissent jamais sur le bas du BP</t>
        </r>
      </text>
    </comment>
    <comment ref="D91" authorId="0" shapeId="0" xr:uid="{BE437FAD-31F2-4C7A-B519-1B424658380B}">
      <text>
        <r>
          <rPr>
            <sz val="9"/>
            <color indexed="81"/>
            <rFont val="Tahoma"/>
            <family val="2"/>
          </rPr>
          <t xml:space="preserve">La base du PAS n'est pas toujours égale au Net Imposable. </t>
        </r>
      </text>
    </comment>
    <comment ref="F91"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6" authorId="0" shapeId="0" xr:uid="{9E978D79-1DE8-4CF8-B0B4-286AD1AA0F84}">
      <text>
        <r>
          <rPr>
            <sz val="9"/>
            <color indexed="81"/>
            <rFont val="Tahoma"/>
            <family val="2"/>
          </rPr>
          <t>Depuis janvier 2022, la collecte de la taxe d'apprentissage et de la CSA n'est plus gérée par les Opco (opérateurs de compétences), mais l'Urssaf.</t>
        </r>
      </text>
    </comment>
    <comment ref="C67" authorId="0" shapeId="0" xr:uid="{434B7043-8DB2-480B-98AC-E2E75DA2CC73}">
      <text>
        <r>
          <rPr>
            <b/>
            <sz val="9"/>
            <color indexed="81"/>
            <rFont val="Tahoma"/>
            <family val="2"/>
          </rPr>
          <t>CTP 995  Versée en Avril N+1 à l'URSSAF</t>
        </r>
      </text>
    </comment>
    <comment ref="C69" authorId="0" shapeId="0" xr:uid="{C66920AE-A377-4182-A207-9C721C102B49}">
      <text>
        <r>
          <rPr>
            <sz val="9"/>
            <color indexed="81"/>
            <rFont val="Tahoma"/>
            <family val="2"/>
          </rPr>
          <t xml:space="preserve">En Jaune les cotisations versées à L'URSSAF 
</t>
        </r>
      </text>
    </comment>
    <comment ref="C74" authorId="0" shapeId="0" xr:uid="{FE6E61AF-7C09-4910-BDEF-9F2CD973114F}">
      <text>
        <r>
          <rPr>
            <sz val="9"/>
            <color indexed="81"/>
            <rFont val="Tahoma"/>
            <family val="2"/>
          </rPr>
          <t xml:space="preserve">Cette formule tient compte de l'affectation d'une partie de la réduction générale de cotisations à l'URSSAF ( cf la feuille DISPATCH)
</t>
        </r>
      </text>
    </comment>
    <comment ref="C76" authorId="0" shapeId="0" xr:uid="{691A51A4-1F5A-4C42-A384-466B64182CC0}">
      <text>
        <r>
          <rPr>
            <sz val="9"/>
            <color indexed="81"/>
            <rFont val="Tahoma"/>
            <family val="2"/>
          </rPr>
          <t>Cette formule tient compte de l'affectation d'un partie de la réduction générale de cotisations à l'AGIRC ARRCO (cf la feuille DISPATCH)</t>
        </r>
        <r>
          <rPr>
            <sz val="9"/>
            <color indexed="81"/>
            <rFont val="Tahoma"/>
            <family val="2"/>
          </rPr>
          <t xml:space="preserve">
</t>
        </r>
      </text>
    </comment>
    <comment ref="C77" authorId="0" shapeId="0" xr:uid="{1DD8A688-21DA-4CFA-9ABA-CE52AB39A93E}">
      <text>
        <r>
          <rPr>
            <b/>
            <sz val="9"/>
            <color indexed="81"/>
            <rFont val="Tahoma"/>
            <family val="2"/>
          </rPr>
          <t>Bienvenue:</t>
        </r>
        <r>
          <rPr>
            <sz val="9"/>
            <color indexed="81"/>
            <rFont val="Tahoma"/>
            <family val="2"/>
          </rPr>
          <t xml:space="preserve">Versé à l'URSSAF sauf l'PAEC versée à une caisse AGIRC - ARRCO) 
</t>
        </r>
      </text>
    </comment>
    <comment ref="B78" authorId="0" shapeId="0" xr:uid="{B2E1E14F-98F1-4A16-94AB-9F93B26918DB}">
      <text>
        <r>
          <rPr>
            <sz val="9"/>
            <color indexed="81"/>
            <rFont val="Tahoma"/>
            <family val="2"/>
          </rPr>
          <t xml:space="preserve">Sur la comptabilisation ds TR voir ci-dessous les différentes possibilités
</t>
        </r>
      </text>
    </comment>
    <comment ref="C91" authorId="0" shapeId="0" xr:uid="{65CD0168-E640-466B-9FD8-166082B26EAF}">
      <text>
        <r>
          <rPr>
            <sz val="9"/>
            <color indexed="81"/>
            <rFont val="Tahoma"/>
            <family val="2"/>
          </rPr>
          <t xml:space="preserve">En fonction des éléments figurant dans le haut du bulletin  modifiez le cas échéant cette formule. Seules qq cas de figure sont ici traités
</t>
        </r>
      </text>
    </comment>
    <comment ref="B105" authorId="0" shapeId="0" xr:uid="{103179BF-1075-49DE-8D1D-F9C81063A37A}">
      <text>
        <r>
          <rPr>
            <sz val="9"/>
            <color indexed="81"/>
            <rFont val="Tahoma"/>
            <family val="2"/>
          </rPr>
          <t xml:space="preserve">Compte utilisé pour les transferts de charges
Le compte transfert de charges est supprimé à compter de Janvier 2025 Selon la revue française de comptabilité , utiliser le compte 6419 à compter du 01/01/2025 anticipation possible)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7" authorId="0" shapeId="0" xr:uid="{58B84479-8554-43DC-B8E3-C6011E28B71E}">
      <text>
        <r>
          <rPr>
            <sz val="9"/>
            <color indexed="81"/>
            <rFont val="Tahoma"/>
            <family val="2"/>
          </rPr>
          <t xml:space="preserve">Cf Lignes 40 à 51  pour l'explication de ce pourcentage et de celui des Entreprises de 50 ou plus de 50 salariés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3" authorId="0" shapeId="0" xr:uid="{477F3B25-5517-4BCB-A6A5-9A755E5DC857}">
      <text>
        <r>
          <rPr>
            <sz val="9"/>
            <color indexed="81"/>
            <rFont val="Tahoma"/>
            <family val="2"/>
          </rPr>
          <t>Les Codes CTP ci-dessous figurent dans le bordereau ( cf Feuille BRC 2) dans la colonne Code</t>
        </r>
      </text>
    </comment>
    <comment ref="A4" authorId="0" shapeId="0" xr:uid="{3F3158E5-29EF-4160-963F-675B1E986756}">
      <text>
        <r>
          <rPr>
            <sz val="9"/>
            <color indexed="81"/>
            <rFont val="Tahoma"/>
            <family val="2"/>
          </rPr>
          <t xml:space="preserve">
</t>
        </r>
        <r>
          <rPr>
            <sz val="8"/>
            <color indexed="81"/>
            <rFont val="Times New Roman"/>
            <family val="1"/>
          </rPr>
          <t xml:space="preserve">(En plus des 7 % si Salaire Brut &gt; 2,5 SMIC </t>
        </r>
      </text>
    </comment>
    <comment ref="C4" authorId="0" shapeId="0" xr:uid="{30FDFB9E-43E6-4C13-9695-ED4887832831}">
      <text>
        <r>
          <rPr>
            <sz val="9"/>
            <color indexed="81"/>
            <rFont val="Tahoma"/>
            <family val="2"/>
          </rPr>
          <t xml:space="preserve">La limite de 2,5 SMIC pour que cette cotisation se déclenche est paramétrée sur la base de cotisation.
Le SMICH applicable pour apprécier la limite en 2024 est le SMICH au 31.12.2023 soit 11,52
</t>
        </r>
      </text>
    </comment>
    <comment ref="A5" authorId="0" shapeId="0" xr:uid="{93B913CE-BD0D-40CF-8E58-26BBF473F499}">
      <text>
        <r>
          <rPr>
            <sz val="9"/>
            <color indexed="81"/>
            <rFont val="Tahoma"/>
            <family val="2"/>
          </rPr>
          <t xml:space="preserve">Taux propre à chaque entreprise 
</t>
        </r>
      </text>
    </comment>
    <comment ref="A6" authorId="0" shapeId="0" xr:uid="{BD0531FA-381F-48A8-9878-F1B5A4337D66}">
      <text>
        <r>
          <rPr>
            <sz val="9"/>
            <color indexed="81"/>
            <rFont val="Tahoma"/>
            <family val="2"/>
          </rPr>
          <t xml:space="preserve">Taux propre à chaque entreprise
</t>
        </r>
      </text>
    </comment>
    <comment ref="A8" authorId="0" shapeId="0" xr:uid="{1E87AE28-3D2F-437A-81B8-29C12F8E9ED8}">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89582058-70D9-43C2-B288-A64ABEE487EF}">
      <text>
        <r>
          <rPr>
            <sz val="9"/>
            <color indexed="81"/>
            <rFont val="Tahoma"/>
            <family val="2"/>
          </rPr>
          <t xml:space="preserve">La limite de 3,5 SMIC pour que cette cotisation se déclenche est paramétrée pour un mois isolé 
Le SMICH pour apprécier la limite de 3,5 SMIC est le SMICH applicable au 31/12/2023
</t>
        </r>
      </text>
    </comment>
    <comment ref="L13" authorId="0" shapeId="0" xr:uid="{0196CD20-D22F-4407-8D95-A675A2237DCE}">
      <text>
        <r>
          <rPr>
            <sz val="9"/>
            <color indexed="81"/>
            <rFont val="Tahoma"/>
            <family val="2"/>
          </rPr>
          <t>Arrondi à l'euro le plus proche</t>
        </r>
        <r>
          <rPr>
            <b/>
            <sz val="9"/>
            <color indexed="81"/>
            <rFont val="Tahoma"/>
            <family val="2"/>
          </rPr>
          <t xml:space="preserve"> </t>
        </r>
        <r>
          <rPr>
            <sz val="9"/>
            <color indexed="81"/>
            <rFont val="Tahoma"/>
            <family val="2"/>
          </rPr>
          <t xml:space="preserve">
</t>
        </r>
      </text>
    </comment>
    <comment ref="N13" authorId="0" shapeId="0" xr:uid="{F379FDE1-65C6-4361-AEA2-4B9EE5CFD362}">
      <text>
        <r>
          <rPr>
            <sz val="9"/>
            <color indexed="81"/>
            <rFont val="Tahoma"/>
            <family val="2"/>
          </rPr>
          <t xml:space="preserve">Arrondi à l'euro le plus proche
</t>
        </r>
      </text>
    </comment>
    <comment ref="A28" authorId="0" shapeId="0" xr:uid="{09A49F36-42E2-4300-9C86-8730FA6403C1}">
      <text>
        <r>
          <rPr>
            <b/>
            <sz val="9"/>
            <color indexed="81"/>
            <rFont val="Tahoma"/>
            <family val="2"/>
          </rPr>
          <t xml:space="preserve"> </t>
        </r>
        <r>
          <rPr>
            <sz val="9"/>
            <color indexed="81"/>
            <rFont val="Tahoma"/>
            <family val="2"/>
          </rPr>
          <t xml:space="preserve">Effectif salariés &lt; 50 </t>
        </r>
      </text>
    </comment>
    <comment ref="A29" authorId="0" shapeId="0" xr:uid="{DC851A74-3AFB-4AD1-892E-2069A384240B}">
      <text>
        <r>
          <rPr>
            <sz val="9"/>
            <color indexed="81"/>
            <rFont val="Tahoma"/>
            <family val="2"/>
          </rPr>
          <t xml:space="preserve">
Effectif salariés &gt; = 50</t>
        </r>
      </text>
    </comment>
    <comment ref="A30" authorId="0" shapeId="0" xr:uid="{5B1DB17F-18B0-47A5-8AB7-CC06FDCE6A82}">
      <text>
        <r>
          <rPr>
            <sz val="9"/>
            <color indexed="81"/>
            <rFont val="Tahoma"/>
            <family val="2"/>
          </rPr>
          <t xml:space="preserve">(Taux Variable) Applicable Si Effectif salariés &gt;= 11
</t>
        </r>
      </text>
    </comment>
    <comment ref="D30" authorId="0" shapeId="0" xr:uid="{79CDD14C-3213-499D-8311-C04E7B2C7A29}">
      <text>
        <r>
          <rPr>
            <sz val="9"/>
            <color indexed="81"/>
            <rFont val="Tahoma"/>
            <family val="2"/>
          </rPr>
          <t xml:space="preserve">Taux applicable pour Paris et la petite couronne (Hauts-de-Seine, de la Seine-Saint-Denis et du Val-de-Marne) à compter du 01/02/2024 l(e taux passe de 2,95% à 3,2%)
</t>
        </r>
        <r>
          <rPr>
            <b/>
            <sz val="9"/>
            <color indexed="81"/>
            <rFont val="Tahoma"/>
            <family val="2"/>
          </rPr>
          <t xml:space="preserve">
 </t>
        </r>
        <r>
          <rPr>
            <sz val="9"/>
            <color indexed="81"/>
            <rFont val="Tahoma"/>
            <family val="2"/>
          </rPr>
          <t xml:space="preserve">
</t>
        </r>
      </text>
    </comment>
    <comment ref="A32" authorId="0" shapeId="0" xr:uid="{C511C3BC-16C0-4C77-85A4-3FDA625BFD28}">
      <text>
        <r>
          <rPr>
            <b/>
            <sz val="9"/>
            <color indexed="81"/>
            <rFont val="Tahoma"/>
            <family val="2"/>
          </rPr>
          <t xml:space="preserve"> </t>
        </r>
        <r>
          <rPr>
            <sz val="9"/>
            <color indexed="81"/>
            <rFont val="Tahoma"/>
            <family val="2"/>
          </rPr>
          <t>Si Effectif salariés &gt;= 11)</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4" authorId="0" shapeId="0" xr:uid="{CDE49048-B6E7-4D15-9239-C1DD407707AD}">
      <text>
        <r>
          <rPr>
            <sz val="9"/>
            <color indexed="81"/>
            <rFont val="Tahoma"/>
            <family val="2"/>
          </rPr>
          <t>(Si Effectifs salariés &gt; = 11 )</t>
        </r>
      </text>
    </comment>
    <comment ref="A35" authorId="0" shapeId="0" xr:uid="{455ECEAE-A9EF-4F28-925C-EB0E325171B0}">
      <text>
        <r>
          <rPr>
            <sz val="9"/>
            <color indexed="81"/>
            <rFont val="Tahoma"/>
            <family val="2"/>
          </rPr>
          <t xml:space="preserve">(Si Effectifs salariés &lt; 11 )
</t>
        </r>
      </text>
    </comment>
    <comment ref="A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<sst xmlns="http://schemas.openxmlformats.org/spreadsheetml/2006/main" count="1662" uniqueCount="1100">
  <si>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</si>
  <si>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</si>
  <si>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</si>
  <si>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</si>
  <si>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</si>
  <si>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</si>
  <si>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</si>
  <si>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</si>
  <si>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</si>
  <si>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</si>
  <si>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</si>
  <si>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</si>
  <si>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</si>
  <si>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</si>
  <si>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</si>
  <si>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</si>
  <si>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</si>
  <si>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</si>
  <si>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</si>
  <si>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</si>
  <si>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</si>
  <si>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</si>
  <si>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</si>
  <si>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</si>
  <si>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</si>
  <si>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</si>
  <si>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</si>
  <si>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</si>
  <si>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</si>
  <si>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</si>
  <si>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</si>
  <si>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</si>
  <si>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</si>
  <si>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</si>
  <si>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</si>
  <si>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</si>
  <si>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</si>
  <si>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</si>
  <si>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</si>
  <si>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</si>
  <si>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</si>
  <si>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</si>
  <si>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</si>
  <si>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</si>
  <si>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</si>
  <si>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</si>
  <si>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</si>
  <si>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</si>
  <si>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</si>
  <si>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</si>
  <si>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</si>
  <si>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</si>
  <si>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</si>
  <si>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</si>
  <si>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</si>
  <si>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</si>
  <si>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</si>
  <si>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Charges salariales</t>
  </si>
  <si>
    <t xml:space="preserve">Dont évolution de la rémunération liée à la suppression des cotisations maladie et assurance chômage  </t>
  </si>
  <si>
    <t>Charges patronales</t>
  </si>
  <si>
    <t>Avantages en nature</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</si>
  <si>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</si>
  <si>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</si>
  <si>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</si>
  <si>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</si>
  <si>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</si>
  <si>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</si>
  <si>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Net imposable</t>
  </si>
  <si>
    <t>Heures travaillées</t>
  </si>
  <si>
    <t>Heures supplémentaires</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</si>
  <si>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</si>
  <si>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</si>
  <si>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</si>
  <si>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</si>
  <si>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</si>
  <si>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</si>
  <si>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</si>
  <si>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</si>
  <si>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</si>
  <si>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</si>
  <si>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</si>
  <si>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</si>
  <si>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</si>
  <si>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</si>
  <si>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</si>
  <si>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</si>
  <si>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</si>
  <si>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</si>
  <si>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</si>
  <si>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</si>
  <si>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</si>
  <si>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</si>
  <si>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</si>
  <si>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</si>
  <si>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</si>
  <si>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</si>
  <si>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</si>
  <si>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</si>
  <si>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</si>
  <si>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</si>
  <si>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</si>
  <si>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</si>
  <si>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</si>
  <si>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</si>
  <si>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</si>
  <si>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</si>
  <si>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</si>
  <si>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</si>
  <si>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</si>
  <si>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</si>
  <si>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</si>
  <si>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</si>
  <si>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</si>
  <si>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</si>
  <si>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</si>
  <si>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</si>
  <si>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</si>
  <si>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</si>
  <si>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</si>
  <si>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</si>
  <si>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</si>
  <si>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</si>
  <si>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</si>
  <si>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</si>
  <si>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</si>
  <si>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</si>
  <si>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</si>
  <si>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</si>
  <si>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</si>
  <si>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</si>
  <si>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</si>
  <si>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</si>
  <si>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</si>
  <si>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</si>
  <si>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</si>
  <si>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</si>
  <si>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</si>
  <si>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</si>
  <si>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</si>
  <si>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</si>
  <si>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</si>
  <si>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</si>
  <si>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</si>
  <si>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</si>
  <si>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</si>
  <si>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</si>
  <si>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</si>
  <si>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</si>
  <si>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</si>
  <si>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</si>
  <si>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</si>
  <si>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</si>
  <si>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</si>
  <si>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</si>
  <si>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</si>
  <si>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</si>
  <si>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</si>
  <si>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</si>
  <si>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</si>
  <si>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</si>
  <si>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</si>
  <si>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</si>
  <si>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</si>
  <si>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</si>
  <si>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</si>
  <si>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</si>
  <si>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</si>
  <si>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</si>
  <si>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</si>
  <si>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</si>
  <si>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</si>
  <si>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</si>
  <si>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</si>
  <si>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</si>
  <si>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</si>
  <si>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</si>
  <si>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</si>
  <si>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</si>
  <si>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</si>
  <si>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</si>
  <si>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</si>
  <si>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</si>
  <si>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</si>
  <si>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</si>
  <si>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</si>
  <si>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</si>
  <si>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</si>
  <si>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</si>
  <si>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</si>
  <si>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</si>
  <si>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</si>
  <si>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</si>
  <si>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</si>
  <si>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</si>
  <si>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</si>
  <si>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</si>
  <si>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</si>
  <si>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</si>
  <si>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</si>
  <si>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</si>
  <si>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</si>
  <si>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</si>
  <si>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</si>
  <si>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</si>
  <si>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</si>
  <si>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</si>
  <si>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</si>
  <si>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</si>
  <si>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</si>
  <si>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</si>
  <si>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</si>
  <si>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</si>
  <si>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</si>
  <si>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</si>
  <si>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</si>
  <si>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</si>
  <si>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</si>
  <si>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</si>
  <si>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</si>
  <si>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</si>
  <si>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</si>
  <si>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</si>
  <si>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</si>
  <si>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</si>
  <si>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</si>
  <si>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</si>
  <si>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</si>
  <si>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</si>
  <si>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</si>
  <si>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</si>
  <si>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AGS</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</si>
  <si>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</si>
  <si>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</si>
  <si>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</si>
  <si>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</si>
  <si>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</si>
  <si>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</si>
  <si>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</si>
  <si>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</si>
  <si>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</si>
  <si>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</si>
  <si>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</si>
  <si>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</si>
  <si>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</si>
  <si>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</si>
  <si>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</si>
  <si>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</si>
  <si>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</si>
  <si>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</si>
  <si>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</si>
  <si>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</si>
  <si>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</si>
  <si>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</si>
  <si>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</si>
  <si>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</si>
  <si>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</si>
  <si>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</si>
  <si>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</si>
  <si>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</si>
  <si>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</si>
  <si>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</si>
  <si>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</si>
  <si>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</si>
  <si>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</si>
  <si>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</si>
  <si>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</si>
  <si>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</si>
  <si>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</si>
  <si>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</si>
  <si>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</si>
  <si>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</si>
  <si>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</si>
  <si>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</si>
  <si>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</si>
  <si>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</si>
  <si>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</si>
  <si>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</si>
  <si>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</si>
  <si>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</si>
  <si>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</si>
  <si>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</si>
  <si>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</si>
  <si>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</si>
  <si>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</si>
  <si>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</si>
  <si>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</si>
  <si>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</si>
  <si>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</si>
  <si>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</si>
  <si>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</si>
  <si>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</si>
  <si>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</si>
  <si>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</si>
  <si>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</si>
  <si>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</si>
  <si>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</si>
  <si>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</si>
  <si>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</si>
  <si>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</si>
  <si>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</si>
  <si>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</si>
  <si>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T</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</si>
  <si>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</si>
  <si>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</si>
  <si>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</si>
  <si>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</si>
  <si>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</si>
  <si>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</si>
  <si>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</si>
  <si>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</si>
  <si>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</si>
  <si>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</si>
  <si>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</si>
  <si>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</si>
  <si>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</si>
  <si>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</si>
  <si>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</si>
  <si>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</si>
  <si>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</si>
  <si>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</si>
  <si>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</si>
  <si>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</si>
  <si>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</si>
  <si>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</si>
  <si>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</si>
  <si>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</si>
  <si>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</si>
  <si>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</si>
  <si>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</si>
  <si>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</si>
  <si>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</si>
  <si>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</si>
  <si>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</si>
  <si>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</si>
  <si>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</si>
  <si>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</si>
  <si>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</si>
  <si>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</si>
  <si>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</si>
  <si>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</si>
  <si>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</si>
  <si>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</si>
  <si>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</si>
  <si>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</si>
  <si>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</si>
  <si>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</si>
  <si>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</si>
  <si>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</si>
  <si>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</si>
  <si>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</si>
  <si>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</si>
  <si>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</si>
  <si>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</si>
  <si>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</si>
  <si>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</si>
  <si>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</si>
  <si>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</si>
  <si>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</si>
  <si>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</si>
  <si>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</si>
  <si>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</si>
  <si>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</si>
  <si>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</si>
  <si>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</si>
  <si>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</si>
  <si>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</si>
  <si>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</si>
  <si>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</si>
  <si>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</si>
  <si>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</si>
  <si>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</si>
  <si>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</si>
  <si>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</si>
  <si>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</si>
  <si>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</si>
  <si>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</si>
  <si>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</si>
  <si>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</si>
  <si>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</si>
  <si>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</si>
  <si>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</si>
  <si>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</si>
  <si>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</si>
  <si>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</si>
  <si>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</si>
  <si>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</si>
  <si>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</si>
  <si>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</si>
  <si>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</si>
  <si>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</si>
  <si>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</si>
  <si>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</si>
  <si>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</si>
  <si>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</si>
  <si>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</si>
  <si>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</si>
  <si>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</si>
  <si>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</si>
  <si>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</si>
  <si>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</si>
  <si>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</si>
  <si>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</si>
  <si>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</si>
  <si>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</si>
  <si>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</si>
  <si>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</si>
  <si>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</si>
  <si>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</si>
  <si>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</si>
  <si>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</si>
  <si>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</si>
  <si>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</si>
  <si>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</si>
  <si>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</si>
  <si>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</si>
  <si>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</si>
  <si>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</si>
  <si>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</si>
  <si>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</si>
  <si>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</si>
  <si>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</si>
  <si>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</si>
  <si>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</si>
  <si>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</si>
  <si>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</si>
  <si>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</si>
  <si>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</si>
  <si>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</si>
  <si>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</si>
  <si>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</si>
  <si>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</si>
  <si>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</si>
  <si>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</si>
  <si>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</si>
  <si>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</si>
  <si>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</si>
  <si>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</si>
  <si>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</si>
  <si>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</si>
  <si>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</si>
  <si>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</si>
  <si>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</si>
  <si>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</si>
  <si>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</si>
  <si>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</si>
  <si>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</si>
  <si>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</si>
  <si>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</si>
  <si>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</si>
  <si>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</si>
  <si>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</si>
  <si>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</si>
  <si>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</si>
  <si>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</si>
  <si>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</si>
  <si>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</si>
  <si>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</si>
  <si>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</si>
  <si>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</si>
  <si>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</si>
  <si>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</si>
  <si>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</si>
  <si>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</si>
  <si>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</si>
  <si>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</si>
  <si>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</si>
  <si>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</si>
  <si>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</si>
  <si>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</si>
  <si>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</si>
  <si>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</si>
  <si>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</si>
  <si>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</si>
  <si>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</si>
  <si>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</si>
  <si>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</si>
  <si>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</si>
  <si>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</si>
  <si>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</si>
  <si>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</si>
  <si>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</si>
  <si>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</si>
  <si>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</si>
  <si>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</si>
  <si>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</si>
  <si>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</si>
  <si>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</si>
  <si>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</si>
  <si>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</si>
  <si>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</si>
  <si>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</si>
  <si>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</si>
  <si>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</si>
  <si>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</si>
  <si>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</si>
  <si>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</si>
  <si>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</si>
  <si>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</si>
  <si>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</si>
  <si>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</si>
  <si>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</si>
  <si>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</si>
  <si>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</si>
  <si>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</si>
  <si>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</si>
  <si>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</si>
  <si>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</si>
  <si>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</si>
  <si>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</si>
  <si>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</si>
  <si>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</si>
  <si>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</si>
  <si>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</si>
  <si>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</si>
  <si>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</si>
  <si>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</si>
  <si>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</si>
  <si>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</si>
  <si>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</si>
  <si>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</si>
  <si>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</si>
  <si>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</si>
  <si>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</si>
  <si>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</si>
  <si>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</si>
  <si>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</si>
  <si>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</si>
  <si>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</si>
  <si>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</si>
  <si>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</si>
  <si>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</si>
  <si>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</si>
  <si>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</si>
  <si>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</si>
  <si>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</si>
  <si>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</si>
  <si>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</si>
  <si>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</si>
  <si>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</si>
  <si>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</si>
  <si>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</si>
  <si>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</si>
  <si>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</si>
  <si>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</si>
  <si>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</si>
  <si>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</si>
  <si>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</si>
  <si>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</si>
  <si>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</si>
  <si>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</si>
  <si>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</si>
  <si>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</si>
  <si>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</si>
  <si>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</si>
  <si>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</si>
  <si>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</si>
  <si>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</si>
  <si>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</si>
  <si>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</si>
  <si>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</si>
  <si>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</si>
  <si>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</si>
  <si>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</si>
  <si>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</si>
  <si>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</si>
  <si>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</si>
  <si>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</si>
  <si>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</si>
  <si>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</si>
  <si>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</si>
  <si>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</si>
  <si>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</si>
  <si>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</si>
  <si>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</si>
  <si>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</si>
  <si>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</si>
  <si>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</si>
  <si>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</si>
  <si>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</si>
  <si>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</si>
  <si>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</si>
  <si>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</si>
  <si>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</si>
  <si>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</si>
  <si>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</si>
  <si>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</si>
  <si>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</si>
  <si>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</si>
  <si>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</si>
  <si>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</si>
  <si>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</si>
  <si>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</si>
  <si>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</si>
  <si>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</si>
  <si>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supérieur ou non à 4 fois le plafond , et aux limités évoquées ci-dessus (1,6 SMIC, 2,5 SMIC, 3,5 SMIC)</t>
  </si>
  <si>
    <t xml:space="preserve">Vous aurez donc automatiquement le </t>
  </si>
  <si>
    <t>Net à payer</t>
  </si>
  <si>
    <t>la base du Prélèvement à la source</t>
  </si>
  <si>
    <t xml:space="preserve">les cotisations salariales et patronales </t>
  </si>
  <si>
    <t>le Montant net social</t>
  </si>
  <si>
    <t>les réductions de cotisations</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</si>
  <si>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</si>
  <si>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</si>
  <si>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</si>
  <si>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</si>
  <si>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</si>
  <si>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</si>
  <si>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</si>
  <si>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le smic</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</si>
  <si>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</si>
  <si>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</si>
  <si>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</si>
  <si>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Le livre Excel pour la Paie 2023 (Exercices corrigés sur la paie) vous donne des explications détaillées sur la façon de construire les différents tableaux de suivi et de construire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</si>
  <si>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</si>
  <si>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</si>
  <si>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</si>
  <si>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</si>
  <si>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</si>
  <si>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</si>
  <si>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</si>
  <si>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</si>
  <si>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</si>
  <si>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</si>
  <si>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</si>
  <si>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</si>
  <si>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</si>
  <si>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</si>
  <si>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</si>
  <si>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</si>
  <si>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</si>
  <si>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</si>
  <si>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</si>
  <si>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</si>
  <si>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</si>
  <si>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</si>
  <si>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</si>
  <si>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</si>
  <si>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</si>
  <si>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</si>
  <si>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</si>
  <si>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 xml:space="preserve">22. Lorsqu'un salarié est en arrêt maladie et que l'entreprise pratique la subrogation l'employeur doit déclarer dans la base du PA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</si>
  <si>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</si>
  <si>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</si>
  <si>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</si>
  <si>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</si>
  <si>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</si>
  <si>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</si>
  <si>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</si>
  <si>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</si>
  <si>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</si>
  <si>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</si>
  <si>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</si>
  <si>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</si>
  <si>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</si>
  <si>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</si>
  <si>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</si>
  <si>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</si>
  <si>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</si>
  <si>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</si>
  <si>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</si>
  <si>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</si>
  <si>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</si>
  <si>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</si>
  <si>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</si>
  <si>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</si>
  <si>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</si>
  <si>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</si>
  <si>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</si>
  <si>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</si>
  <si>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</si>
  <si>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</si>
  <si>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</si>
  <si>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</si>
  <si>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</si>
  <si>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</si>
  <si>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</si>
  <si>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Que le salarié soit cadre ou  non cadre , quels que soient les effectifs de l'entreprise et le salaire du mois vous pourrez après avoir </t>
  </si>
  <si>
    <t xml:space="preserve">soigneusement complété la feuille "Masque de Saisie" établir le bulletin de paie d'un salarié sur 1 mois isolé.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</si>
  <si>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</si>
  <si>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</si>
  <si>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</si>
  <si>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</si>
  <si>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</si>
  <si>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</si>
  <si>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</si>
  <si>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</si>
  <si>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</si>
  <si>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</si>
  <si>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</si>
  <si>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</si>
  <si>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</si>
  <si>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</si>
  <si>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</si>
  <si>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</si>
  <si>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</si>
  <si>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</si>
  <si>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</si>
  <si>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</si>
  <si>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</si>
  <si>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</si>
  <si>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</si>
  <si>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</si>
  <si>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</si>
  <si>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Pharmacie L et D  de GAALON </t>
  </si>
  <si>
    <t xml:space="preserve">29 Rue Clémenceau  22430 Erquy </t>
  </si>
  <si>
    <t>4773Z</t>
  </si>
  <si>
    <t xml:space="preserve">2 Avenue du Val Fleuri 22520 Binic </t>
  </si>
  <si>
    <t>Préparatrice en Pharmacie</t>
  </si>
  <si>
    <t>2.96.02.297.820. 957</t>
  </si>
  <si>
    <t>Rassa</t>
  </si>
  <si>
    <t xml:space="preserve">Catégories de salariés </t>
  </si>
  <si>
    <t xml:space="preserve">Codes </t>
  </si>
  <si>
    <t xml:space="preserve">Nombre de salariés </t>
  </si>
  <si>
    <t xml:space="preserve">Salaires arrondis  </t>
  </si>
  <si>
    <t>Taux en %</t>
  </si>
  <si>
    <t xml:space="preserve">Cotisations arrondies </t>
  </si>
  <si>
    <t>AM, AV,AF…</t>
  </si>
  <si>
    <t>AT</t>
  </si>
  <si>
    <t xml:space="preserve">Total </t>
  </si>
  <si>
    <t>Non cadres</t>
  </si>
  <si>
    <t>100 P</t>
  </si>
  <si>
    <t>P</t>
  </si>
  <si>
    <t xml:space="preserve">Consultez les  commentaires attachés aux cellules ( repérés par un triangle rouge àen haut à droite des cellules. </t>
  </si>
  <si>
    <t>Intitulé Cotisations</t>
  </si>
  <si>
    <t xml:space="preserve">Cotisations plafonnées </t>
  </si>
  <si>
    <t xml:space="preserve">Cotisations Totalité du salaire </t>
  </si>
  <si>
    <t xml:space="preserve">Reprots depuis le BP </t>
  </si>
  <si>
    <t xml:space="preserve">Accident du travail </t>
  </si>
  <si>
    <t>Cf Feuille BRC 2 pour la présentation normalisée</t>
  </si>
  <si>
    <t xml:space="preserve">URSSAF Vieillesse Déplafonnée </t>
  </si>
  <si>
    <t>Allocations familiales</t>
  </si>
  <si>
    <t xml:space="preserve">Taux agrégé </t>
  </si>
  <si>
    <t xml:space="preserve">Base arrondie </t>
  </si>
  <si>
    <t xml:space="preserve">SOUS-TOTAL </t>
  </si>
  <si>
    <t xml:space="preserve">100 P </t>
  </si>
  <si>
    <t xml:space="preserve">URSSF Vieillesse Plafonnée </t>
  </si>
  <si>
    <t xml:space="preserve">Forfait social de 20% </t>
  </si>
  <si>
    <t>O27</t>
  </si>
  <si>
    <t xml:space="preserve">Contribution Dialogue social </t>
  </si>
  <si>
    <t>FNAL Entreprises de 50 salariés et +</t>
  </si>
  <si>
    <t xml:space="preserve">CSG CRDS </t>
  </si>
  <si>
    <t xml:space="preserve">FNAL Plafonnée (Entreprises de moins de 50 salariés) </t>
  </si>
  <si>
    <t>001</t>
  </si>
  <si>
    <t xml:space="preserve">Trop versé Allocations familiales </t>
  </si>
  <si>
    <t>Forfait social 8 %</t>
  </si>
  <si>
    <t xml:space="preserve">Régularisation Réduction Générale de Cotisations </t>
  </si>
  <si>
    <t xml:space="preserve">Versement mobilité </t>
  </si>
  <si>
    <t>Contribution unique à la formation professionnelle Continue E&lt;11</t>
  </si>
  <si>
    <t>Contribution unique à la formation professionnelle Continue E&gt;=11</t>
  </si>
  <si>
    <t xml:space="preserve">Taxe d'apprentissage </t>
  </si>
  <si>
    <t>003</t>
  </si>
  <si>
    <t xml:space="preserve">Réduction salariale sur heures Sup </t>
  </si>
  <si>
    <t xml:space="preserve">Ce montant est à rapprocher du montant figurant en comptabilité  dans le compte 431 </t>
  </si>
  <si>
    <t xml:space="preserve">Charges patronales </t>
  </si>
  <si>
    <t xml:space="preserve">Charges salariales </t>
  </si>
  <si>
    <t xml:space="preserve">Montant figurant sur le bordereau </t>
  </si>
  <si>
    <t xml:space="preserve">Ecriture en comptabilité au moment du règlement </t>
  </si>
  <si>
    <t xml:space="preserve">Débit </t>
  </si>
  <si>
    <t xml:space="preserve">Crédit </t>
  </si>
  <si>
    <t xml:space="preserve">431 URSSAF </t>
  </si>
  <si>
    <t>Plafond de la sécurité sociale 2024</t>
  </si>
  <si>
    <t>512 Banque</t>
  </si>
  <si>
    <t xml:space="preserve">SMICH 01/01/2023 </t>
  </si>
  <si>
    <t xml:space="preserve">758 Produits divers de gestion courante </t>
  </si>
  <si>
    <t xml:space="preserve">SMICH 01/05/2023 </t>
  </si>
  <si>
    <t>SMICH au 01/01/2024</t>
  </si>
  <si>
    <t>SMIC Mensuel au 01/01/2023</t>
  </si>
  <si>
    <t>SMIC Mensuel au 01/05/2023</t>
  </si>
  <si>
    <t>SMIC Mensuel au 01/01/2024</t>
  </si>
  <si>
    <t>1,6 *SMICH  * 35 * 52 /12 au 01/01/2024</t>
  </si>
  <si>
    <t>2,5 *SMICH*35*52/12 au 01/01/2024</t>
  </si>
  <si>
    <t>3,5 *SMICH*35*52/12 au 01/01/2024</t>
  </si>
  <si>
    <t>Coefficients Red Gen de  Cot. à compter du 01/01/2024 (Entreprises de moins de 50 sal / Entreprises de 50 ou + de 50 sal.)</t>
  </si>
  <si>
    <r>
      <t xml:space="preserve">Taux </t>
    </r>
    <r>
      <rPr>
        <b/>
        <sz val="11"/>
        <color theme="1"/>
        <rFont val="Times New Roman"/>
        <family val="1"/>
      </rPr>
      <t>2024</t>
    </r>
    <r>
      <rPr>
        <sz val="11"/>
        <color theme="1"/>
        <rFont val="Times New Roman"/>
        <family val="1"/>
      </rPr>
      <t xml:space="preserve">  du Versement Mobilité en RP </t>
    </r>
  </si>
  <si>
    <t>Taux du Versement Mobilité en  2024</t>
  </si>
  <si>
    <t xml:space="preserve">Entreprises de moins de 50 salariés </t>
  </si>
  <si>
    <t xml:space="preserve">Entreprises de  50  ou plus de 50 salariés </t>
  </si>
  <si>
    <t xml:space="preserve">Part de coefficient </t>
  </si>
  <si>
    <t xml:space="preserve">Pourcentage </t>
  </si>
  <si>
    <t xml:space="preserve">URSSAF </t>
  </si>
  <si>
    <t xml:space="preserve">AGIRC - ARRCO </t>
  </si>
  <si>
    <t xml:space="preserve">AGIRC -ARRCO </t>
  </si>
  <si>
    <t>Mondo</t>
  </si>
  <si>
    <t>31 Cité de Paradis</t>
  </si>
  <si>
    <t>75010 Paris</t>
  </si>
  <si>
    <t xml:space="preserve">Entreprise de moins de 11  salariés </t>
  </si>
  <si>
    <t>SIRET</t>
  </si>
  <si>
    <t>APE/NAF</t>
  </si>
  <si>
    <t>921B</t>
  </si>
  <si>
    <t>Convention Collective :</t>
  </si>
  <si>
    <t>Emploi</t>
  </si>
  <si>
    <t>Architecte</t>
  </si>
  <si>
    <t>Niveau</t>
  </si>
  <si>
    <t>Echelon</t>
  </si>
  <si>
    <t>Coefficient</t>
  </si>
  <si>
    <t>Matricule</t>
  </si>
  <si>
    <t>Matricule SS</t>
  </si>
  <si>
    <t>GRIMON Caroline</t>
  </si>
  <si>
    <t>Employeur non subrogé</t>
  </si>
  <si>
    <t>Salaire de base</t>
  </si>
  <si>
    <t>AN TR</t>
  </si>
  <si>
    <t>Total Brut</t>
  </si>
  <si>
    <t>Cotisations Salariales</t>
  </si>
  <si>
    <t>Cotisations patronales</t>
  </si>
  <si>
    <t>URRSAF Maladie</t>
  </si>
  <si>
    <t>URRSAF Vieillesse Plafonnée</t>
  </si>
  <si>
    <t>URSSAF Vieillesse Déplafonnée</t>
  </si>
  <si>
    <t xml:space="preserve">Allocations familiales Taux majoré </t>
  </si>
  <si>
    <t>URSSAF FNAL Taux réduit  TA</t>
  </si>
  <si>
    <t>Accident du travail</t>
  </si>
  <si>
    <t xml:space="preserve">Contribution organisations syndicales </t>
  </si>
  <si>
    <t xml:space="preserve">Contribution pénibilité </t>
  </si>
  <si>
    <t>Pôle Emploi  TA</t>
  </si>
  <si>
    <t>Pôle Emploi  TB</t>
  </si>
  <si>
    <t>Retraite Cadre TA</t>
  </si>
  <si>
    <t>AGFF TA</t>
  </si>
  <si>
    <t>Retraite Cadre TB</t>
  </si>
  <si>
    <t>AGFF TB + TC</t>
  </si>
  <si>
    <t>CET</t>
  </si>
  <si>
    <t>APEC  TA + TB</t>
  </si>
  <si>
    <t xml:space="preserve">Assurance décés des cadres </t>
  </si>
  <si>
    <t>Titres   restaurant</t>
  </si>
  <si>
    <t>Réductions Cotisations patronales</t>
  </si>
  <si>
    <t>C.S.G déductible</t>
  </si>
  <si>
    <t>Total des charges déductibles</t>
  </si>
  <si>
    <t>C.S.G./ C.R.D.S non déductibles</t>
  </si>
  <si>
    <t>Total des charges sociales salariales</t>
  </si>
  <si>
    <t>Tickets restaurant</t>
  </si>
  <si>
    <t xml:space="preserve">Indemnité de transport (Remboursement titre de transport) </t>
  </si>
  <si>
    <t>Net à payer = 5 800 + 828,39 -1484 - 66 + 35</t>
  </si>
  <si>
    <t>Cumul 201N</t>
  </si>
  <si>
    <t xml:space="preserve">Les 35,64 sont intégrés pour le calcul des cotisations mais ne figurent pas dans le Net à payer </t>
  </si>
  <si>
    <t>Net imposable = 5800 + 828,39 + 154 de TR à réintégrer + 74,21 PP Prévoyance frais de santé Moins 1290,73</t>
  </si>
  <si>
    <t>Période</t>
  </si>
  <si>
    <t>Heures supp/</t>
  </si>
  <si>
    <t>Comptabilisation</t>
  </si>
  <si>
    <t>Contribution unique des employeurs à la FP</t>
  </si>
  <si>
    <t xml:space="preserve">COMPTABILISATION DES CHARGES PATRONALES </t>
  </si>
  <si>
    <t xml:space="preserve">Versé à l'URSSAF </t>
  </si>
  <si>
    <t>Versements libératoires ouvrant droit à l'exonération de la taxe d'apprentissage</t>
  </si>
  <si>
    <t>Versement mobilité</t>
  </si>
  <si>
    <t>Allocation logement</t>
  </si>
  <si>
    <t>6334 (6314)</t>
  </si>
  <si>
    <t xml:space="preserve">France TRAVAIL </t>
  </si>
  <si>
    <t>TR</t>
  </si>
  <si>
    <t>Médecine du travail</t>
  </si>
  <si>
    <t>Prévoyance</t>
  </si>
  <si>
    <t xml:space="preserve">TR </t>
  </si>
  <si>
    <t xml:space="preserve">4386 (4486) </t>
  </si>
  <si>
    <t>Autres Organismes sociaux charge à payer</t>
  </si>
  <si>
    <t>Contrôle des charges patronales avec le bulletin de paie Format Juillet 2023</t>
  </si>
  <si>
    <t xml:space="preserve">Report depuis le bulletin de paie au Format Juillet 2023 </t>
  </si>
  <si>
    <t xml:space="preserve">Primes et gratifications </t>
  </si>
  <si>
    <t>AN</t>
  </si>
  <si>
    <t>IJSS Nettes versées</t>
  </si>
  <si>
    <t xml:space="preserve">Personnel Rémunérations dues </t>
  </si>
  <si>
    <t xml:space="preserve">Avances et acomptes versés </t>
  </si>
  <si>
    <t xml:space="preserve">Personnel Oppositions </t>
  </si>
  <si>
    <t xml:space="preserve">AGIRC   ARRCO </t>
  </si>
  <si>
    <t xml:space="preserve">TR (PS) </t>
  </si>
  <si>
    <t>PAS</t>
  </si>
  <si>
    <t xml:space="preserve">Proposition de comptabilisation des TR (il existe d'autres possibilités) </t>
  </si>
  <si>
    <t xml:space="preserve">1. Lors de l'acquisition des TR </t>
  </si>
  <si>
    <t xml:space="preserve">Régle fiscale </t>
  </si>
  <si>
    <t xml:space="preserve">La comptabilisation des TR peut également être effectuée de la manière suivante : </t>
  </si>
  <si>
    <t xml:space="preserve">Soit à comptabiliser  l'achat d'1 TR de valeur 9 euros. L'employeur prend à sa charge  5 euros </t>
  </si>
  <si>
    <t xml:space="preserve">N°s de compte </t>
  </si>
  <si>
    <t xml:space="preserve">Intitulé </t>
  </si>
  <si>
    <t xml:space="preserve">Facture reçue de l'organisme auprés duquel l'entreprise a accheté les TR </t>
  </si>
  <si>
    <t>Valeur des TR achetés par l'entreprise</t>
  </si>
  <si>
    <t xml:space="preserve">Commission sur achat </t>
  </si>
  <si>
    <t>x</t>
  </si>
  <si>
    <t xml:space="preserve">Etat TVA déductible </t>
  </si>
  <si>
    <t>401 (4375)</t>
  </si>
  <si>
    <t>Fournisseur</t>
  </si>
  <si>
    <t>Lors de l'établissement du BP</t>
  </si>
  <si>
    <t xml:space="preserve">BP Comptabilisation part retenue sur le Net à payer du salarié </t>
  </si>
  <si>
    <t xml:space="preserve">Personnel Rém : dues </t>
  </si>
  <si>
    <t>Divers</t>
  </si>
  <si>
    <t>Ainsi la  charge  pour l'entreprse (solde du compte 648 est de 5)</t>
  </si>
  <si>
    <t xml:space="preserve">Dans le bulletin de paie ci-dessus l'écriture passée est </t>
  </si>
  <si>
    <t xml:space="preserve">Ce qui revient au même . Au compte de charge  648 on n'a finalement </t>
  </si>
  <si>
    <t xml:space="preserve">que le montant de la part patronale </t>
  </si>
  <si>
    <t>1ère  méthode  : le dédoublement des comptes </t>
  </si>
  <si>
    <t>Cette méthode est proposée par le Mémento Francis Lefebvre :  </t>
  </si>
  <si>
    <t>–  le compte 6417 «  Avantages en nature » est débité du montant des avantages en nature inclus dans le salaire brut ; </t>
  </si>
  <si>
    <t>–  le compte 6418 est utilisé de manière soustractive afin de déterminer le salaire à payer (en déduisant la somme consentie en avantage en nature au salarié).</t>
  </si>
  <si>
    <t>Donc D6417 C6418 pour 500</t>
  </si>
  <si>
    <t>2e méthode : le transfert de charges </t>
  </si>
  <si>
    <t>Cette méthode est préconisée par le secrétariat du Conseil national de la comptabilité (CNC) :  </t>
  </si>
  <si>
    <t>Le compte 6417 «  Avantages en nature » est débité du montant des avantages en nature inclus dans le salaire brut ; en contrepartie, le crédit peut se faire par :  </t>
  </si>
  <si>
    <t>–  les comptes de charges correspondant à l ’avantage en nature (compte 613 «  Loyer… »), qui ont déjà été normalement débités : D6417 C6132 pour 500</t>
  </si>
  <si>
    <t>–  le compte 708 «  Produits des activités annexes » : l ’entreprise est propriétaire du logement (compte 7083 « Locations diverses » pour le logement...)  : D6417 C7083 pour 500</t>
  </si>
  <si>
    <t>–  le compte 791 « Transferts de charges d’exploitation » : D6417 C791 pour 500</t>
  </si>
  <si>
    <t>Une seule des trois méthodes est à suivre, je vous conseille la 1ère et la 2ème (si l'entreprise est proprietaire du bien) qui permettent un suivi détaillé.</t>
  </si>
  <si>
    <t> 2.3.  Cas particuliers  </t>
  </si>
  <si>
    <t>2.3.1.  PARTICIPATION CONSTRUCTION </t>
  </si>
  <si>
    <t>Elle est acquittée :  </t>
  </si>
  <si>
    <t>–  soit par un versement au Trésor par un  débit c/6314 « Cotisation pour défaut  d’investissement obligatoire dans la construction » ; </t>
  </si>
  <si>
    <t>–  soit sous forme de dépenses libératoires concernant les logements sociaux ou la transformation de logements anciens par un débit c/6334 « Participation des employeurs à l ’effort de construction ». </t>
  </si>
  <si>
    <t>Si le règlement est différé il convient d ’utiliser un compte de tiers particulier, le compte 447 « Autres impôts, taxes et versements ». </t>
  </si>
  <si>
    <t xml:space="preserve">Ex. : Le 5 mars N, la cotisation d ’investissement obligatoire dans la construction est d ’un montant de 3  000,00€. La subvention accordée  par l'entreprise à un organisme HLM d ’un </t>
  </si>
  <si>
    <t>montant de 1  300,00€ est payée par chèque bancaire</t>
  </si>
  <si>
    <t>D6314 pour 1700    C447 pour 1700</t>
  </si>
  <si>
    <t>D6334 pour 1300    C512 pour 1300</t>
  </si>
  <si>
    <t xml:space="preserve">Modalités déclaratives </t>
  </si>
  <si>
    <t>2.3.2.  TAXE D’APPRENTISSAGE </t>
  </si>
  <si>
    <t>https://www.urssaf.fr/accueil/employeur/cotisations/liste-cotisations/taxe-apprentissage-csa.html#:~:text=D%C3%A9claration%20de%20la%20part%20principale%20de%20taxe%20d'apprentissage&amp;text=Vous%20devez%20d%C3%A9clarer%20mensuellement%20la,taux%20de%200%2C59%25).</t>
  </si>
  <si>
    <r>
      <t xml:space="preserve">S'agissant de la </t>
    </r>
    <r>
      <rPr>
        <b/>
        <sz val="12"/>
        <color theme="1"/>
        <rFont val="Times New Roman"/>
        <family val="1"/>
      </rPr>
      <t>part principale</t>
    </r>
    <r>
      <rPr>
        <sz val="12"/>
        <color theme="1"/>
        <rFont val="Times New Roman"/>
        <family val="1"/>
      </rPr>
      <t xml:space="preserve"> de la taxe, le versement mensuel est comptabilisé au compte </t>
    </r>
    <r>
      <rPr>
        <b/>
        <sz val="12"/>
        <color theme="1"/>
        <rFont val="Times New Roman"/>
        <family val="1"/>
      </rPr>
      <t>6333 « Contribution unique des employeurs à la formation professionnelle »</t>
    </r>
    <r>
      <rPr>
        <sz val="12"/>
        <color theme="1"/>
        <rFont val="Times New Roman"/>
        <family val="1"/>
      </rPr>
      <t xml:space="preserve"> et, à la </t>
    </r>
  </si>
  <si>
    <t xml:space="preserve"> clôture de l'exercice, il convient de constater un passif correspondant au montant à verser au cours du mois suivant par le crédit du compte 431 « Sécurité sociale » et le débit du </t>
  </si>
  <si>
    <t xml:space="preserve"> compte 6333. Les dépenses déductibles de cette part principale sont comptabilisées dans les comptes de charges correspondant à leur nature.</t>
  </si>
  <si>
    <r>
      <t xml:space="preserve">Le </t>
    </r>
    <r>
      <rPr>
        <b/>
        <sz val="12"/>
        <color theme="1"/>
        <rFont val="Times New Roman"/>
        <family val="1"/>
      </rPr>
      <t>solde de la taxe d'apprentissage,</t>
    </r>
    <r>
      <rPr>
        <sz val="12"/>
        <color theme="1"/>
        <rFont val="Times New Roman"/>
        <family val="1"/>
      </rPr>
      <t xml:space="preserve"> qui a pour objet de financer le développement des formations initiales technologiques et professionnelles, hors apprentissage, fait l'objet d'un </t>
    </r>
  </si>
  <si>
    <t xml:space="preserve"> versement unique avec la DSN établie au titre du mois d'avril de l'année suivant celle au titre de laquelle il est dû. Il donne lieu à la constatation d'un passif à la clôture par le crédit </t>
  </si>
  <si>
    <t xml:space="preserve"> du compte 438 « Organismes sociaux - Charges à payer » et le débit du compte 6335 « Versements libératoires ouvrant droit à l'exonération de la taxe d'apprentissage ». C'est </t>
  </si>
  <si>
    <t xml:space="preserve"> également à ce compte qu'il convient d'enregistrer les dépenses libératoires effectuées avant la clôture, par le biais de subventions aux CFA.</t>
  </si>
  <si>
    <t>2.3.3.  PARTICIPATION À LA FORMATION CONTINUE </t>
  </si>
  <si>
    <r>
      <t xml:space="preserve">La contribution est comptabilisée en impôts, taxes et versements assimilés dans le compte </t>
    </r>
    <r>
      <rPr>
        <b/>
        <sz val="12"/>
        <color theme="1"/>
        <rFont val="Times New Roman"/>
        <family val="1"/>
      </rPr>
      <t>6333 « Contribution unique des employeurs à la formation professionnelle ».</t>
    </r>
  </si>
  <si>
    <r>
      <t xml:space="preserve">Elle constitue une charge de la période au cours de laquelle les salaires servant de base à son calcul sont dus. Le montant de la </t>
    </r>
    <r>
      <rPr>
        <b/>
        <sz val="12"/>
        <color theme="1"/>
        <rFont val="Times New Roman"/>
        <family val="1"/>
      </rPr>
      <t>contribution</t>
    </r>
    <r>
      <rPr>
        <sz val="12"/>
        <color theme="1"/>
        <rFont val="Times New Roman"/>
        <family val="1"/>
      </rPr>
      <t xml:space="preserve"> qui sera versé aux Urssaf au cours du </t>
    </r>
  </si>
  <si>
    <r>
      <t xml:space="preserve"> </t>
    </r>
    <r>
      <rPr>
        <b/>
        <sz val="12"/>
        <color theme="1"/>
        <rFont val="Times New Roman"/>
        <family val="1"/>
      </rPr>
      <t>mois suivant la clôture de l'exercice</t>
    </r>
    <r>
      <rPr>
        <sz val="12"/>
        <color theme="1"/>
        <rFont val="Times New Roman"/>
        <family val="1"/>
      </rPr>
      <t xml:space="preserve"> donne lieu à la constatation d'un passif par le crédit du compte 431 « Sécurité sociale » et le débit du compte 6333.</t>
    </r>
  </si>
  <si>
    <r>
      <t xml:space="preserve">La </t>
    </r>
    <r>
      <rPr>
        <b/>
        <sz val="11"/>
        <color theme="1"/>
        <rFont val="Calibri"/>
        <family val="2"/>
        <scheme val="minor"/>
      </rPr>
      <t>contribution 1 % CPF-CDD,</t>
    </r>
    <r>
      <rPr>
        <sz val="11"/>
        <color theme="1"/>
        <rFont val="Calibri"/>
        <family val="2"/>
        <scheme val="minor"/>
      </rPr>
      <t xml:space="preserve"> destinée au financement du compte personnel de formation des salariés employés dans le cadre d'un CDD, est, comme la contribution unique, </t>
    </r>
  </si>
  <si>
    <t xml:space="preserve"> comptabilisée au débit du compte 6333 « Contribution unique des employeurs à la formation professionnelle » (ou 6313 en cas d'insuffisance de paiement).</t>
  </si>
  <si>
    <t>2.4.  Autres cas particuliers  </t>
  </si>
  <si>
    <t>2.4.1.  FINANCEMENT DU COMITÉ D’ENTREPRISE </t>
  </si>
  <si>
    <t>Le financement du comité d’entreprise concerne les entreprises de 50 salariés et plus. </t>
  </si>
  <si>
    <t>En cours d’année, l ’entreprise verse sa cotisation au comité d ’entreprise. Elle passera l’écriture suivante  : Débit c/647 « Autres charges sociales », Crédit 5. </t>
  </si>
  <si>
    <t>En fin d ’année, si  l’entreprise n ’a  pas versé l ’intégralité de la cotisation prévue, elle passe l’écriture suivante : Débit c/647 « Autres charges sociales », Crédit c/422 « Comités d’entreprise ». </t>
  </si>
  <si>
    <t>2.4.2.  LES TITRES RESTAURANTS </t>
  </si>
  <si>
    <t xml:space="preserve">Le système des titres restaurant répond à un besoin social bien identifi é, celui de la restauration des salariés et employés pendant la journée de travail. Il repose sur la participation </t>
  </si>
  <si>
    <t>financière des salariés et de l’entreprise.</t>
  </si>
  <si>
    <t>Lors de l’achat de titres restaurants, l’entreprise va constater dans ses écritures l’entrée des titres et une sortie de deniers au travers de l ’écriture suivante : Débit 437 «  Autres organismes sociaux », Crédit 5. </t>
  </si>
  <si>
    <t xml:space="preserve">Lors de la remise des titres, l ’entreprise retracera dans ses écritures au moment de la liquidation de la paie la participation de l ’employeur (Débit 647 « Autres charges sociales », </t>
  </si>
  <si>
    <t>Crédit 437 « Autres organismes sociaux ») et celle des salariés (Débit 421 « Personnel – Rémunération dues », Crédit 437 « Autres organismes sociaux »). </t>
  </si>
  <si>
    <t>À l’issue de ces opérations,  le compte 437 « Autres organismes sociaux » sera soldé. </t>
  </si>
  <si>
    <t>2.4.3.  LA TAXE SUR LES SALAIRES </t>
  </si>
  <si>
    <t xml:space="preserve">Elle est due chaque mois par les employeurs non assujettis à la TVA ou qui l ’ont été sur moins de 10 % de leur chiffre d’affaire N - 1.  Dans un premier temps, l ’entreprise va </t>
  </si>
  <si>
    <t>constater la taxe sur les salai res par l’écriture suivante : </t>
  </si>
  <si>
    <t>Débit 6311 « Taxe sur les salaires », Crédit 447 « Autres impôts, taxes et versements assimilés ». </t>
  </si>
  <si>
    <t>Lors du règlement de la taxe sur les salaires, l ’entreprise va solder le compte de tiers utilisé en contre partie  d’un compte de disponibilités :  Débit 447  « Autres impôts, taxes et versements assimilés », Crédit 5</t>
  </si>
  <si>
    <t>3.  LES RÉDUCTIONS DU NET À PAYER </t>
  </si>
  <si>
    <t>Les salaires nets (salaires bruts – cotisations salariales) peuvent être amputés de sommes qui ont été avancées précédemment aux salariés ou qui sont à reverser à des tiers. </t>
  </si>
  <si>
    <t>3.1.  Les avances et acomptes : compte 425 « Personnel avances et acomptes » </t>
  </si>
  <si>
    <t>Définitions  :  </t>
  </si>
  <si>
    <t>–  une avance est un prêt personnel consenti par l ’employeur ; </t>
  </si>
  <si>
    <t>–  un acompte est le paiement anticipé d’un travail qui a déjà été effectué. </t>
  </si>
  <si>
    <t>La comptabilisation des avances et acomptes est réalisée à la date de leur versement.</t>
  </si>
  <si>
    <t>D 425 C512 pour le montant des avances au moment du versement des avances puis  au moment de la liquidation de la paie on déduit les avances en soldant le compte 425 ( D421 C425)</t>
  </si>
  <si>
    <r>
      <t>La règle d'</t>
    </r>
    <r>
      <rPr>
        <b/>
        <sz val="11"/>
        <color rgb="FF000000"/>
        <rFont val="Arial"/>
        <family val="2"/>
      </rPr>
      <t>arrondi</t>
    </r>
    <r>
      <rPr>
        <sz val="11"/>
        <color rgb="FF000000"/>
        <rFont val="Arial"/>
        <family val="2"/>
      </rPr>
      <t xml:space="preserve"> des cotisations recouvrées par les organismes sociaux donne lieu à une écriture complémentaire de régularisation, pour solde des comptes des tiers.</t>
    </r>
  </si>
  <si>
    <t>Les différences d'arrondi sont :</t>
  </si>
  <si>
    <r>
      <t xml:space="preserve">-  soit débitées au compte </t>
    </r>
    <r>
      <rPr>
        <b/>
        <sz val="11"/>
        <color rgb="FF000000"/>
        <rFont val="Arial"/>
        <family val="2"/>
      </rPr>
      <t>658 « Charges diverses de gestion courante »</t>
    </r>
    <r>
      <rPr>
        <sz val="11"/>
        <color rgb="FF000000"/>
        <rFont val="Arial"/>
        <family val="2"/>
      </rPr>
      <t xml:space="preserve"> ;</t>
    </r>
  </si>
  <si>
    <r>
      <t xml:space="preserve">-  soit créditées au compte </t>
    </r>
    <r>
      <rPr>
        <b/>
        <sz val="11"/>
        <color rgb="FF000000"/>
        <rFont val="Arial"/>
        <family val="2"/>
      </rPr>
      <t>758 « Produits divers de gestion courante ».</t>
    </r>
  </si>
  <si>
    <r>
      <t>Fiscalement</t>
    </r>
    <r>
      <rPr>
        <sz val="12"/>
        <color theme="1"/>
        <rFont val="Times New Roman"/>
        <family val="1"/>
      </rPr>
      <t>: Cette charge n'est déductible que si, à la clôture de l'exercice, l'entreprise a pris un engagement irrévocable de verser une subvention porté à la connaissance de la personne ou de l'organisme bénéficiaire (</t>
    </r>
    <r>
      <rPr>
        <u/>
        <sz val="12"/>
        <color rgb="FF0066CC"/>
        <rFont val="Times New Roman"/>
        <family val="1"/>
      </rPr>
      <t>BOI-BIC-PROV-30-20-20 n° 150</t>
    </r>
    <r>
      <rPr>
        <sz val="12"/>
        <color theme="1"/>
        <rFont val="Times New Roman"/>
        <family val="1"/>
      </rPr>
      <t>). A notre avis, cet engagement peut être justifié par une décision du conseil d'administration et par une confirmation de l'organisme collecteur.</t>
    </r>
  </si>
  <si>
    <r>
      <t>Comptablement</t>
    </r>
    <r>
      <rPr>
        <sz val="12"/>
        <color theme="1"/>
        <rFont val="Times New Roman"/>
        <family val="1"/>
      </rPr>
      <t>: Le fait générateur de la participation à l'</t>
    </r>
    <r>
      <rPr>
        <b/>
        <sz val="12"/>
        <color theme="1"/>
        <rFont val="Times New Roman"/>
        <family val="1"/>
      </rPr>
      <t>effort</t>
    </r>
    <r>
      <rPr>
        <sz val="12"/>
        <color theme="1"/>
        <rFont val="Times New Roman"/>
        <family val="1"/>
      </rPr>
      <t xml:space="preserve"> de </t>
    </r>
    <r>
      <rPr>
        <b/>
        <sz val="12"/>
        <color theme="1"/>
        <rFont val="Times New Roman"/>
        <family val="1"/>
      </rPr>
      <t>construction</t>
    </r>
    <r>
      <rPr>
        <sz val="12"/>
        <color theme="1"/>
        <rFont val="Times New Roman"/>
        <family val="1"/>
      </rPr>
      <t xml:space="preserve"> étant le paiement des salaires, la participation relative aux salaires de l'année écoulée est une charge à comptabiliser au débit du compte 6334 " Participation des employeurs à l'</t>
    </r>
    <r>
      <rPr>
        <b/>
        <sz val="12"/>
        <color theme="1"/>
        <rFont val="Times New Roman"/>
        <family val="1"/>
      </rPr>
      <t>effort</t>
    </r>
    <r>
      <rPr>
        <sz val="12"/>
        <color theme="1"/>
        <rFont val="Times New Roman"/>
        <family val="1"/>
      </rPr>
      <t xml:space="preserve"> de </t>
    </r>
    <r>
      <rPr>
        <b/>
        <sz val="12"/>
        <color theme="1"/>
        <rFont val="Times New Roman"/>
        <family val="1"/>
      </rPr>
      <t>construction</t>
    </r>
    <r>
      <rPr>
        <sz val="12"/>
        <color theme="1"/>
        <rFont val="Times New Roman"/>
        <family val="1"/>
      </rPr>
      <t xml:space="preserve"> " (</t>
    </r>
    <r>
      <rPr>
        <u/>
        <sz val="12"/>
        <color rgb="FF0066CC"/>
        <rFont val="Times New Roman"/>
        <family val="1"/>
      </rPr>
      <t>PCG, art. 946-63</t>
    </r>
    <r>
      <rPr>
        <sz val="12"/>
        <color theme="1"/>
        <rFont val="Times New Roman"/>
        <family val="1"/>
      </rPr>
      <t>) par le crédit du compte 4386 " Organismes sociaux - Charges à payer ".</t>
    </r>
  </si>
  <si>
    <t>URSSAF / ARRCO  ( Pour la réduction générale de cotisations voir dispatch entre URSSAF  et ARRCO )</t>
  </si>
  <si>
    <t>CTP 100</t>
  </si>
  <si>
    <t xml:space="preserve">CTP 100 P </t>
  </si>
  <si>
    <t xml:space="preserve">CTP 100  </t>
  </si>
  <si>
    <t>CTP 772  et 937 ( AGS)</t>
  </si>
  <si>
    <t>CTP 260</t>
  </si>
  <si>
    <t>CTP 261</t>
  </si>
  <si>
    <t>CTP 003</t>
  </si>
  <si>
    <t>CTP  332</t>
  </si>
  <si>
    <t>CTP 236</t>
  </si>
  <si>
    <t>CTP  900</t>
  </si>
  <si>
    <t>CTP 001</t>
  </si>
  <si>
    <t>CTP 479</t>
  </si>
  <si>
    <t>CTP 12</t>
  </si>
  <si>
    <t>CTP 027</t>
  </si>
  <si>
    <t>CTP 992 (0,59%)  et CTP 995 (0,09%)</t>
  </si>
  <si>
    <t>CTP 959</t>
  </si>
  <si>
    <t>CTP 972</t>
  </si>
  <si>
    <t>Cotisations patronales versées à l'URSSAF</t>
  </si>
  <si>
    <t xml:space="preserve">Entreprises moins de 50 salariés </t>
  </si>
  <si>
    <t xml:space="preserve">Entreprises de 50  ou plus de 50 salariés </t>
  </si>
  <si>
    <t xml:space="preserve">Fraction incompressible Taux Accident du travail </t>
  </si>
  <si>
    <t xml:space="preserve">Mutuelles et Prévoyance </t>
  </si>
  <si>
    <t xml:space="preserve">A imputer lors de la comptabilisation sur les cotisations patronales versées à l'URSSAF et à l'AGIRC-ARRCO </t>
  </si>
  <si>
    <t>Report depuis le bulletin de paie au Format Janvier 2023</t>
  </si>
  <si>
    <t>X</t>
  </si>
  <si>
    <t xml:space="preserve">Suivant que l'entreprise posséde moins de 50  salariés ou 50  et plus de 50 salariés  le montant qu'il faudra retirer des cotisations patronales versées à l'URSSAF est ici automatiquement calculé  </t>
  </si>
  <si>
    <t>Suivant que l'entreprise posséde moins de 50  salariés ou 50  et plus de 50 salariés le montant  qu'il faudra retirer des cotisations patronales versées à l'AGIRC - ARRCO  est ici calculé</t>
  </si>
  <si>
    <t>CTP 992  (Taxe d'apprentissage au taux de 0,59%)</t>
  </si>
  <si>
    <t>PP TR</t>
  </si>
  <si>
    <t xml:space="preserve">Charge à payer à l'URSSAF </t>
  </si>
  <si>
    <t>Cette partie pourra être adaptée  pour tenir compte d'événements pouvant se produire : licenciement, absences...</t>
  </si>
  <si>
    <t xml:space="preserve">Contribution de solidarité pour l'autonomie </t>
  </si>
  <si>
    <t xml:space="preserve">A compter du 1 er Mai 2025 (4,05 %  avant) </t>
  </si>
  <si>
    <t xml:space="preserve">Paramètres T </t>
  </si>
  <si>
    <t>URSSAF Code CTP 100</t>
  </si>
  <si>
    <t>La TVA grevant les commissions supportées par les entreprises lors de l’acquisition de titres-restaurant au profit de leurs salariés est donc déductible dès lors que le restaurant a pour objet d’assurer le bon déroulement des activités de l’entreprise et qu’il ne vise pas à assurer uniquement un avantage particulier aux bénéficiaires.</t>
  </si>
  <si>
    <t xml:space="preserve">PP TR </t>
  </si>
  <si>
    <t xml:space="preserve">Déduction forfaitaire sur heures supplémentaires </t>
  </si>
  <si>
    <t xml:space="preserve">Cette cellule est utilisée pour effectuer le caclul de la déduction forfaitaire sur les heures supplémentaires applicable et tient compte </t>
  </si>
  <si>
    <t xml:space="preserve">Son montant est ensuite reporté avec un signe inversé dans la cellule G71 des bulletins de paie ( exonération et allégements de cotisations) </t>
  </si>
  <si>
    <t>En revanche ce montant n'apparait pas dans la cellule Allégements de Cotisations (J93)</t>
  </si>
  <si>
    <t xml:space="preserve">Heures supplémentaires défiscalisées </t>
  </si>
  <si>
    <t xml:space="preserve">En fonction des cas traités vous pourrez être amené à revoir le contenu des différentes lignes </t>
  </si>
  <si>
    <t>Grille du taux neutre  applicable au 1 er Mai 2025</t>
  </si>
  <si>
    <t>0.5 %</t>
  </si>
  <si>
    <t>1.3 %</t>
  </si>
  <si>
    <t>2.1 %</t>
  </si>
  <si>
    <t>2.9 %</t>
  </si>
  <si>
    <t>3.5 %</t>
  </si>
  <si>
    <t>4.1 %</t>
  </si>
  <si>
    <t>5.3 %</t>
  </si>
  <si>
    <t>7.5 %</t>
  </si>
  <si>
    <t>9.9 %</t>
  </si>
  <si>
    <t>11.9 %</t>
  </si>
  <si>
    <t>13.8 %</t>
  </si>
  <si>
    <t>15.8 %</t>
  </si>
  <si>
    <t>17.9 %</t>
  </si>
  <si>
    <t xml:space="preserve">​ </t>
  </si>
  <si>
    <t>Format nombre du 01/05/2025</t>
  </si>
  <si>
    <t xml:space="preserve">(permet de revoyer le taux suivant que le bulletin de paie se situe avant le 01/05 ou </t>
  </si>
  <si>
    <t>à compter du 01/05)</t>
  </si>
  <si>
    <t xml:space="preserve">Les cellules en jaune peuvent être modifiées (variables) </t>
  </si>
  <si>
    <t xml:space="preserve">Paramètres 2026  et Variables </t>
  </si>
  <si>
    <t>SMICH</t>
  </si>
  <si>
    <t xml:space="preserve">Coefficients 2026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</si>
  <si>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</si>
  <si>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</si>
  <si>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</si>
  <si>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</si>
  <si>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</si>
  <si>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</si>
  <si>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</si>
  <si>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</si>
  <si>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</si>
  <si>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</si>
  <si>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</si>
  <si>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</si>
  <si>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</si>
  <si>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</si>
  <si>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</si>
  <si>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</si>
  <si>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</si>
  <si>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 xml:space="preserve">Sécurité sociale Maladie Maternité Invalidité Décés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</si>
  <si>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</si>
  <si>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</si>
  <si>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</si>
  <si>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</si>
  <si>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</si>
  <si>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</si>
  <si>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</si>
  <si>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DFHS entreprises d'au moins 20  salariés </t>
  </si>
  <si>
    <t>Abattement CDD Court 2026</t>
  </si>
  <si>
    <t>la limite de 3 SMIC</t>
  </si>
  <si>
    <r>
      <t>21. Lorsqu'un salarié est en CDD court il a le droit à un abattement de</t>
    </r>
    <r>
      <rPr>
        <b/>
        <sz val="11"/>
        <color theme="1"/>
        <rFont val="Times New Roman"/>
        <family val="1"/>
      </rPr>
      <t xml:space="preserve"> 748 euros</t>
    </r>
    <r>
      <rPr>
        <sz val="11"/>
        <color theme="1"/>
        <rFont val="Times New Roman"/>
        <family val="1"/>
      </rPr>
      <t xml:space="preserve"> sur la base du PAS. </t>
    </r>
  </si>
  <si>
    <t xml:space="preserve">Ce format a généralement été conservé afin d'effectuer un recoupement avec le format ci-dessous. En effet les rubriques principales sont les </t>
  </si>
  <si>
    <t xml:space="preserve">mêmes. Seul  l'ordre différe - éventuellement le libellé. </t>
  </si>
  <si>
    <t xml:space="preserve">La feuille "Feuille Contrôle" permet d'effectuer le recoupement entre les 2 Formats de bulletin de paie. </t>
  </si>
  <si>
    <r>
      <t xml:space="preserve">selon le </t>
    </r>
    <r>
      <rPr>
        <b/>
        <sz val="12"/>
        <color theme="1"/>
        <rFont val="Times New Roman"/>
        <family val="1"/>
      </rPr>
      <t xml:space="preserve">Format applicable depuis le 01/01/2023 </t>
    </r>
  </si>
  <si>
    <r>
      <t xml:space="preserve">selon le </t>
    </r>
    <r>
      <rPr>
        <b/>
        <sz val="12"/>
        <color theme="1"/>
        <rFont val="Times New Roman"/>
        <family val="1"/>
      </rPr>
      <t>Format applicable depuis le 01/07/2023</t>
    </r>
    <r>
      <rPr>
        <sz val="12"/>
        <color theme="1"/>
        <rFont val="Times New Roman"/>
        <family val="1"/>
      </rPr>
      <t xml:space="preserve"> légérement modifié ( suppression de la rubrique de bas de page Allégements de Cotisations) </t>
    </r>
  </si>
  <si>
    <r>
      <t xml:space="preserve">afin d'être </t>
    </r>
    <r>
      <rPr>
        <b/>
        <sz val="12"/>
        <color theme="1"/>
        <rFont val="Times New Roman"/>
        <family val="1"/>
      </rPr>
      <t xml:space="preserve">conforme pour 2026 </t>
    </r>
  </si>
  <si>
    <t>Table des Taux 2026</t>
  </si>
  <si>
    <t xml:space="preserve">RGDU </t>
  </si>
  <si>
    <t xml:space="preserve">Sécurité Sociale Maladie Maternité Invalidité Décés </t>
  </si>
  <si>
    <t xml:space="preserve">Allocations familiales </t>
  </si>
  <si>
    <r>
      <t>de la modification intervenue le</t>
    </r>
    <r>
      <rPr>
        <b/>
        <sz val="12"/>
        <color theme="1"/>
        <rFont val="Times New Roman"/>
        <family val="1"/>
      </rPr>
      <t xml:space="preserve"> 01/01/2026 </t>
    </r>
  </si>
  <si>
    <t xml:space="preserve">Remboursements sur rémunérations </t>
  </si>
  <si>
    <r>
      <rPr>
        <sz val="12"/>
        <color theme="1"/>
        <rFont val="Times New Roman"/>
        <family val="1"/>
      </rPr>
      <t>6419</t>
    </r>
    <r>
      <rPr>
        <sz val="9"/>
        <color theme="1"/>
        <rFont val="Times New Roman"/>
        <family val="1"/>
      </rPr>
      <t xml:space="preserve"> selon la revue française de comptabilité) </t>
    </r>
  </si>
  <si>
    <t>En 2026</t>
  </si>
  <si>
    <t>A compter du 1 er Janvier 2026</t>
  </si>
  <si>
    <t xml:space="preserve">concernées par la RGDU </t>
  </si>
  <si>
    <t>FNAL Totalité</t>
  </si>
  <si>
    <t xml:space="preserve">AGIRC / ARRCO </t>
  </si>
  <si>
    <t>Taux minimum</t>
  </si>
  <si>
    <t>Coefficient 2026</t>
  </si>
  <si>
    <t>Cf Table des Taux 2026 Ligne 61</t>
  </si>
  <si>
    <t>A compter de Janvier 2026</t>
  </si>
  <si>
    <t xml:space="preserve">Le montant de la RGDU  calculé dans la feuille RGDU  sur 1 mois isolé est ici reporté </t>
  </si>
  <si>
    <t xml:space="preserve">Un peu d'histoire </t>
  </si>
  <si>
    <t xml:space="preserve">Rappel : les cotisations d'assurance Chômage (France Travail) sont versées à l'URSSAF </t>
  </si>
  <si>
    <t xml:space="preserve">Compte 6335 </t>
  </si>
  <si>
    <t xml:space="preserve">Ici 4385 </t>
  </si>
  <si>
    <t>Compte 6333</t>
  </si>
  <si>
    <t xml:space="preserve">Ligne 67 de la feuille Comptabilisation </t>
  </si>
  <si>
    <t xml:space="preserve">Précisions concernant la comptabilisation </t>
  </si>
  <si>
    <t xml:space="preserve">Ligne 66  de la feuille Comptabilisation </t>
  </si>
  <si>
    <t xml:space="preserve">Ligne 68  de la feuille Comptabilisation </t>
  </si>
  <si>
    <t xml:space="preserve">France Travail </t>
  </si>
  <si>
    <t xml:space="preserve">Ligne 80 + 85 de la feuille Comptabilisation </t>
  </si>
  <si>
    <t xml:space="preserve">Ligne 100  de la feuille Comptabilisation </t>
  </si>
  <si>
    <t xml:space="preserve">Report depuis le BP </t>
  </si>
  <si>
    <t xml:space="preserve">CSG CRDS sur Heures Supplémentaires </t>
  </si>
  <si>
    <t xml:space="preserve">Avant l'introduction de la DSN les cotisations étaient déclarées sur papier en utilisanr  le bordereau ci-dessus. </t>
  </si>
  <si>
    <t xml:space="preserve">UESSAF </t>
  </si>
  <si>
    <t xml:space="preserve">AGIRC ARRCO </t>
  </si>
  <si>
    <t xml:space="preserve">Réduction générale URSSAF </t>
  </si>
  <si>
    <t xml:space="preserve">Complément assurance maladie </t>
  </si>
  <si>
    <t xml:space="preserve">CTP </t>
  </si>
  <si>
    <t xml:space="preserve">Complément allocations familiales </t>
  </si>
  <si>
    <t xml:space="preserve">Complément maladie </t>
  </si>
  <si>
    <t xml:space="preserve">Cf la feuille DISPATCH ET DSN </t>
  </si>
  <si>
    <t xml:space="preserve">Cotisation déclarée </t>
  </si>
  <si>
    <t xml:space="preserve">Montant </t>
  </si>
  <si>
    <t xml:space="preserve">Cf feuille DSN URSSAF PREP </t>
  </si>
  <si>
    <t xml:space="preserve">Cf feuille DISPATCH  et DSN  pour le dispatch des 513,51 euros et la façon de les déclarer dans la feuille DSN URSSAF PREP </t>
  </si>
  <si>
    <t xml:space="preserve">Code CTP </t>
  </si>
  <si>
    <t xml:space="preserve">La réduction générale dégressive unique  doit être répartie entre l'URSSAF et les caisses AGIRC ARRCO  selon les modalités suivantes : </t>
  </si>
  <si>
    <t xml:space="preserve">Le montant du coefficient est arrondi à 4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</si>
</sst>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00_-;\-* #,##0.00000_-;_-* &quot;-&quot;??_-;_-@_-"/>
  </numFmts>
  <fonts count="126"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sz val="6"/>
      <color theme="1"/>
      <name val="Calibri"/>
      <family val="2"/>
      <scheme val="minor"/>
    </font>
    <font>
      <b/>
      <sz val="12"/>
      <color theme="1"/>
      <name val="Calibri"/>
      <family val="2"/>
      <scheme val="minor"/>
    </font>
    <font>
      <sz val="11"/>
      <name val="Times New Roman"/>
      <family val="1"/>
    </font>
    <font>
      <b/>
      <sz val="11"/>
      <name val="Times New Roman"/>
      <family val="1"/>
    </font>
    <font>
      <b/>
      <i/>
      <sz val="9"/>
      <color rgb="FFFF0000"/>
      <name val="Times New Roman"/>
      <family val="1"/>
    </font>
    <font>
      <b/>
      <sz val="14"/>
      <color theme="1"/>
      <name val="Calibri"/>
      <family val="2"/>
      <scheme val="minor"/>
    </font>
    <font>
      <sz val="12"/>
      <color theme="0"/>
      <name val="Times New Roman"/>
      <family val="1"/>
    </font>
    <font>
      <b/>
      <sz val="12"/>
      <name val="Times New Roman"/>
      <family val="1"/>
    </font>
    <font>
      <sz val="12"/>
      <color rgb="FF000000"/>
      <name val="Times New Roman"/>
      <family val="1"/>
    </font>
    <font>
      <b/>
      <i/>
      <sz val="12"/>
      <name val="Times New Roman"/>
      <family val="1"/>
    </font>
    <font>
      <b/>
      <sz val="12"/>
      <color rgb="FF000000"/>
      <name val="Times New Roman"/>
      <family val="1"/>
    </font>
    <font>
      <b/>
      <sz val="12"/>
      <color theme="0"/>
      <name val="Times New Roman"/>
      <family val="1"/>
    </font>
    <font>
      <u/>
      <sz val="12"/>
      <color rgb="FF000000"/>
      <name val="Times New Roman"/>
      <family val="1"/>
    </font>
    <font>
      <u/>
      <sz val="12"/>
      <color theme="1"/>
      <name val="Times New Roman"/>
      <family val="1"/>
    </font>
    <font>
      <b/>
      <i/>
      <sz val="12"/>
      <color theme="1"/>
      <name val="Times New Roman"/>
      <family val="1"/>
    </font>
    <font>
      <sz val="11"/>
      <color rgb="FF000000"/>
      <name val="Arial"/>
      <family val="2"/>
    </font>
    <font>
      <b/>
      <sz val="11"/>
      <color rgb="FF000000"/>
      <name val="Arial"/>
      <family val="2"/>
    </font>
    <font>
      <b/>
      <u/>
      <sz val="12"/>
      <color theme="1"/>
      <name val="Times New Roman"/>
      <family val="1"/>
    </font>
    <font>
      <u/>
      <sz val="12"/>
      <color rgb="FF0066CC"/>
      <name val="Times New Roman"/>
      <family val="1"/>
    </font>
    <font>
      <sz val="10"/>
      <color theme="1"/>
      <name val="Arial Narrow"/>
      <family val="2"/>
    </font>
    <font>
      <sz val="10"/>
      <color rgb="FF000000"/>
      <name val="Arial Narrow"/>
      <family val="2"/>
    </font>
    <font>
      <i/>
      <sz val="10"/>
      <color theme="1"/>
      <name val="Times New Roman"/>
      <family val="1"/>
    </font>
    <font>
      <u/>
      <sz val="11"/>
      <color theme="10"/>
      <name val="Calibri"/>
      <family val="2"/>
      <scheme val="minor"/>
    </font>
    <font>
      <sz val="16"/>
      <color theme="0"/>
      <name val="Calibri"/>
      <family val="2"/>
      <scheme val="minor"/>
    </font>
    <font>
      <sz val="16"/>
      <color theme="0"/>
      <name val="Times New Roman"/>
      <family val="1"/>
    </font>
    <font>
      <i/>
      <sz val="8"/>
      <name val="Times New Roman"/>
      <family val="1"/>
    </font>
    <font>
      <b/>
      <i/>
      <sz val="6"/>
      <name val="Times New Roman"/>
      <family val="1"/>
    </font>
    <font>
      <i/>
      <sz val="11"/>
      <color theme="1"/>
      <name val="Arial Narrow"/>
      <family val="2"/>
    </font>
    <font>
      <i/>
      <sz val="9"/>
      <color rgb="FF000000"/>
      <name val="Arial Narrow"/>
      <family val="2"/>
    </font>
    <font>
      <b/>
      <i/>
      <sz val="8"/>
      <color theme="1"/>
      <name val="Times New Roman"/>
      <family val="1"/>
    </font>
    <font>
      <i/>
      <sz val="12"/>
      <color theme="1"/>
      <name val="Arial Narrow"/>
      <family val="2"/>
    </font>
    <font>
      <i/>
      <sz val="12"/>
      <color theme="1"/>
      <name val="Calibri"/>
      <family val="2"/>
      <scheme val="minor"/>
    </font>
    <font>
      <sz val="9"/>
      <color theme="0"/>
      <name val="Times New Roman"/>
      <family val="1"/>
    </font>
    <font>
      <b/>
      <sz val="9"/>
      <color theme="0"/>
      <name val="Times New Roman"/>
      <family val="1"/>
    </font>
  </fonts>
  <fills count="1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00FF00"/>
        <bgColor rgb="FF33CCCC"/>
      </patternFill>
    </fill>
    <fill>
      <patternFill patternType="solid">
        <fgColor rgb="FF00FFFF"/>
        <bgColor rgb="FF00FFFF"/>
      </patternFill>
    </fill>
    <fill>
      <patternFill patternType="solid">
        <fgColor rgb="FFC0C0C0"/>
        <bgColor rgb="FFCCCCFF"/>
      </patternFill>
    </fill>
    <fill>
      <patternFill patternType="solid">
        <fgColor rgb="FFFF0000"/>
        <bgColor indexed="64"/>
      </patternFill>
    </fill>
    <fill>
      <patternFill patternType="solid">
        <fgColor rgb="FFC00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right style="hair">
        <color auto="1"/>
      </right>
      <top/>
      <bottom/>
      <diagonal/>
    </border>
    <border>
      <left style="dashed">
        <color indexed="8"/>
      </left>
      <right style="dashed">
        <color indexed="8"/>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style="hair">
        <color auto="1"/>
      </left>
      <right/>
      <top style="hair">
        <color auto="1"/>
      </top>
      <bottom style="hair">
        <color auto="1"/>
      </bottom>
      <diagonal/>
    </border>
    <border>
      <left/>
      <right style="hair">
        <color auto="1"/>
      </right>
      <top/>
      <bottom style="hair">
        <color auto="1"/>
      </bottom>
      <diagonal/>
    </border>
    <border>
      <left style="thin">
        <color indexed="64"/>
      </left>
      <right style="hair">
        <color auto="1"/>
      </right>
      <top style="thin">
        <color indexed="64"/>
      </top>
      <bottom/>
      <diagonal/>
    </border>
    <border>
      <left style="hair">
        <color auto="1"/>
      </left>
      <right style="thin">
        <color indexed="64"/>
      </right>
      <top style="thin">
        <color indexed="64"/>
      </top>
      <bottom/>
      <diagonal/>
    </border>
    <border>
      <left style="thin">
        <color indexed="64"/>
      </left>
      <right style="hair">
        <color auto="1"/>
      </right>
      <top/>
      <bottom/>
      <diagonal/>
    </border>
    <border>
      <left style="hair">
        <color auto="1"/>
      </left>
      <right style="thin">
        <color indexed="64"/>
      </right>
      <top/>
      <bottom/>
      <diagonal/>
    </border>
    <border>
      <left style="thin">
        <color indexed="64"/>
      </left>
      <right style="hair">
        <color auto="1"/>
      </right>
      <top/>
      <bottom style="thin">
        <color indexed="64"/>
      </bottom>
      <diagonal/>
    </border>
    <border>
      <left style="hair">
        <color auto="1"/>
      </left>
      <right style="thin">
        <color indexed="64"/>
      </right>
      <top/>
      <bottom style="thin">
        <color indexed="64"/>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114" fillId="0" borderId="0" applyNumberFormat="0" applyFill="0" applyBorder="0" applyAlignment="0" applyProtection="0"/>
  </cellStyleXfs>
  <cellXfs count="1235">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0" fillId="2" borderId="1" xfId="0" applyFill="1" applyBorder="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5" fillId="0" borderId="1" xfId="0" applyFont="1" applyBorder="1" applyAlignment="1">
      <alignment horizontal="right" vertical="center" wrapText="1"/>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34" fillId="0" borderId="5" xfId="1" applyFont="1" applyBorder="1" applyAlignment="1">
      <alignment horizontal="center" vertical="center" wrapText="1"/>
    </xf>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0" fontId="92" fillId="0" borderId="1" xfId="0" applyFont="1" applyBorder="1" applyAlignment="1">
      <alignment horizontal="center" vertical="center" wrapText="1"/>
    </xf>
    <xf numFmtId="0" fontId="92" fillId="0" borderId="1" xfId="0" applyFont="1" applyBorder="1"/>
    <xf numFmtId="0" fontId="19" fillId="0" borderId="1" xfId="0" applyFont="1" applyBorder="1" applyAlignment="1">
      <alignment horizontal="center"/>
    </xf>
    <xf numFmtId="0" fontId="19" fillId="0" borderId="1" xfId="0" applyFont="1" applyBorder="1"/>
    <xf numFmtId="43" fontId="47" fillId="0" borderId="1" xfId="1" applyFont="1" applyBorder="1"/>
    <xf numFmtId="0" fontId="79" fillId="2" borderId="1" xfId="0" applyFont="1" applyFill="1" applyBorder="1" applyAlignment="1">
      <alignment horizontal="center"/>
    </xf>
    <xf numFmtId="0" fontId="19" fillId="0" borderId="0" xfId="0" applyFont="1"/>
    <xf numFmtId="0" fontId="25" fillId="0" borderId="1" xfId="0" applyFont="1" applyBorder="1" applyAlignment="1">
      <alignment horizontal="center" vertical="center" wrapText="1"/>
    </xf>
    <xf numFmtId="167" fontId="34" fillId="0" borderId="1" xfId="3" applyNumberFormat="1" applyFont="1" applyBorder="1" applyAlignment="1">
      <alignment vertical="center" wrapText="1"/>
    </xf>
    <xf numFmtId="167" fontId="34" fillId="0" borderId="10" xfId="3" applyNumberFormat="1" applyFont="1" applyBorder="1" applyAlignment="1">
      <alignment vertical="center" wrapText="1"/>
    </xf>
    <xf numFmtId="0" fontId="34" fillId="0" borderId="1" xfId="0" applyFont="1" applyBorder="1"/>
    <xf numFmtId="0" fontId="25" fillId="0" borderId="1" xfId="0" applyFont="1" applyBorder="1" applyAlignment="1">
      <alignment horizontal="center" wrapText="1"/>
    </xf>
    <xf numFmtId="10" fontId="34" fillId="0" borderId="1" xfId="3" applyNumberFormat="1" applyFont="1" applyFill="1" applyBorder="1" applyAlignment="1">
      <alignment horizontal="center" vertical="center" wrapText="1"/>
    </xf>
    <xf numFmtId="0" fontId="34" fillId="0" borderId="9" xfId="0" applyFont="1" applyBorder="1" applyAlignment="1">
      <alignment horizontal="center" vertical="center" wrapText="1"/>
    </xf>
    <xf numFmtId="0" fontId="25" fillId="0" borderId="0" xfId="0" applyFont="1" applyAlignment="1">
      <alignment horizontal="center" vertical="center" wrapText="1"/>
    </xf>
    <xf numFmtId="10" fontId="94" fillId="2" borderId="1" xfId="0" applyNumberFormat="1" applyFont="1" applyFill="1" applyBorder="1" applyAlignment="1">
      <alignment horizontal="center" vertical="center"/>
    </xf>
    <xf numFmtId="4" fontId="94"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0" fontId="95" fillId="9" borderId="1" xfId="0" applyFont="1" applyFill="1" applyBorder="1" applyAlignment="1">
      <alignment horizontal="center" vertical="center"/>
    </xf>
    <xf numFmtId="166" fontId="83" fillId="0" borderId="9" xfId="3" applyNumberFormat="1" applyFont="1" applyBorder="1" applyAlignment="1">
      <alignment horizontal="center" vertical="center"/>
    </xf>
    <xf numFmtId="0" fontId="93" fillId="0" borderId="1" xfId="0" applyFont="1" applyBorder="1" applyAlignment="1">
      <alignment horizontal="center" vertical="center" wrapText="1"/>
    </xf>
    <xf numFmtId="10" fontId="34" fillId="2" borderId="1" xfId="3" applyNumberFormat="1" applyFont="1" applyFill="1" applyBorder="1" applyAlignment="1">
      <alignment horizontal="center" vertical="center" wrapText="1"/>
    </xf>
    <xf numFmtId="4" fontId="0" fillId="2" borderId="1" xfId="0" applyNumberFormat="1" applyFill="1" applyBorder="1" applyAlignment="1">
      <alignment horizontal="center" vertical="center" wrapText="1"/>
    </xf>
    <xf numFmtId="9" fontId="34" fillId="0" borderId="1" xfId="0" applyNumberFormat="1" applyFont="1" applyBorder="1" applyAlignment="1">
      <alignment horizontal="center" vertical="center" wrapText="1"/>
    </xf>
    <xf numFmtId="43" fontId="0" fillId="0" borderId="1" xfId="0" applyNumberFormat="1" applyBorder="1" applyAlignment="1">
      <alignment horizontal="center" vertical="center" wrapText="1"/>
    </xf>
    <xf numFmtId="166" fontId="34" fillId="0" borderId="1" xfId="3" applyNumberFormat="1" applyFont="1" applyFill="1" applyBorder="1" applyAlignment="1">
      <alignment horizontal="center" vertical="center" wrapText="1"/>
    </xf>
    <xf numFmtId="43" fontId="0" fillId="2" borderId="1" xfId="0" applyNumberFormat="1" applyFill="1" applyBorder="1" applyAlignment="1">
      <alignment horizontal="center" vertical="center" wrapText="1"/>
    </xf>
    <xf numFmtId="10" fontId="34" fillId="0" borderId="1" xfId="3" applyNumberFormat="1" applyFont="1" applyBorder="1" applyAlignment="1">
      <alignment horizontal="center" vertical="center" wrapText="1"/>
    </xf>
    <xf numFmtId="10" fontId="0" fillId="2" borderId="0" xfId="0" applyNumberFormat="1" applyFill="1" applyAlignment="1">
      <alignment horizontal="center" vertical="center" wrapText="1"/>
    </xf>
    <xf numFmtId="167" fontId="34" fillId="0" borderId="1" xfId="3" applyNumberFormat="1" applyFont="1" applyFill="1" applyBorder="1" applyAlignment="1">
      <alignment horizontal="center" vertical="center" wrapText="1"/>
    </xf>
    <xf numFmtId="167" fontId="34" fillId="2" borderId="1" xfId="0" applyNumberFormat="1" applyFont="1" applyFill="1" applyBorder="1" applyAlignment="1">
      <alignment horizontal="center" vertical="center" wrapText="1"/>
    </xf>
    <xf numFmtId="0" fontId="93" fillId="0" borderId="14" xfId="0" quotePrefix="1" applyFont="1" applyBorder="1" applyAlignment="1">
      <alignment horizontal="center" vertical="center" wrapText="1"/>
    </xf>
    <xf numFmtId="10" fontId="3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9" fontId="34" fillId="2" borderId="1" xfId="0" applyNumberFormat="1" applyFont="1" applyFill="1" applyBorder="1" applyAlignment="1">
      <alignment horizontal="center" vertical="center" wrapText="1"/>
    </xf>
    <xf numFmtId="0" fontId="93" fillId="0" borderId="14" xfId="0" applyFont="1" applyBorder="1" applyAlignment="1">
      <alignment horizontal="center" vertical="center" wrapText="1"/>
    </xf>
    <xf numFmtId="0" fontId="34" fillId="0" borderId="14" xfId="0" applyFont="1" applyBorder="1" applyAlignment="1">
      <alignment horizontal="center" vertical="center" wrapText="1"/>
    </xf>
    <xf numFmtId="10" fontId="96" fillId="0" borderId="9" xfId="3" applyNumberFormat="1" applyFont="1" applyBorder="1" applyAlignment="1">
      <alignment horizontal="center" vertical="center"/>
    </xf>
    <xf numFmtId="0" fontId="93" fillId="0" borderId="1" xfId="0" quotePrefix="1" applyFont="1" applyBorder="1" applyAlignment="1">
      <alignment horizontal="center" vertical="center" wrapText="1"/>
    </xf>
    <xf numFmtId="0" fontId="93" fillId="0" borderId="0" xfId="0" applyFont="1" applyAlignment="1">
      <alignment horizontal="center" vertical="center" wrapText="1"/>
    </xf>
    <xf numFmtId="0" fontId="97" fillId="0" borderId="0" xfId="0" applyFont="1" applyAlignment="1">
      <alignment horizontal="center" vertical="center" wrapText="1"/>
    </xf>
    <xf numFmtId="43" fontId="0" fillId="0" borderId="0" xfId="0" applyNumberFormat="1"/>
    <xf numFmtId="169" fontId="0" fillId="0" borderId="0" xfId="0" applyNumberFormat="1"/>
    <xf numFmtId="0" fontId="34" fillId="0" borderId="2" xfId="0" applyFont="1" applyBorder="1" applyAlignment="1">
      <alignment horizontal="center" vertical="center" wrapText="1"/>
    </xf>
    <xf numFmtId="4" fontId="34" fillId="0" borderId="1" xfId="0" applyNumberFormat="1" applyFont="1" applyBorder="1" applyAlignment="1">
      <alignment horizontal="center" vertical="center" wrapText="1"/>
    </xf>
    <xf numFmtId="0" fontId="34" fillId="0" borderId="25" xfId="0" applyFont="1" applyBorder="1"/>
    <xf numFmtId="165" fontId="34" fillId="0" borderId="25" xfId="0" applyNumberFormat="1" applyFont="1" applyBorder="1"/>
    <xf numFmtId="0" fontId="99" fillId="0" borderId="0" xfId="0" applyFont="1" applyAlignment="1">
      <alignment horizontal="center"/>
    </xf>
    <xf numFmtId="165" fontId="34" fillId="0" borderId="0" xfId="0" applyNumberFormat="1" applyFont="1"/>
    <xf numFmtId="0" fontId="34" fillId="0" borderId="22" xfId="0" applyFont="1" applyBorder="1"/>
    <xf numFmtId="169" fontId="34" fillId="0" borderId="0" xfId="0" applyNumberFormat="1" applyFont="1"/>
    <xf numFmtId="169" fontId="99" fillId="0" borderId="0" xfId="0" applyNumberFormat="1" applyFont="1" applyAlignment="1">
      <alignment horizontal="center"/>
    </xf>
    <xf numFmtId="14" fontId="99" fillId="0" borderId="0" xfId="0" applyNumberFormat="1" applyFont="1" applyAlignment="1">
      <alignment horizontal="center"/>
    </xf>
    <xf numFmtId="0" fontId="99" fillId="0" borderId="27" xfId="0" applyFont="1" applyBorder="1"/>
    <xf numFmtId="165" fontId="99" fillId="0" borderId="0" xfId="0" applyNumberFormat="1" applyFont="1"/>
    <xf numFmtId="0" fontId="12" fillId="0" borderId="0" xfId="0" applyFont="1" applyAlignment="1">
      <alignment horizontal="center"/>
    </xf>
    <xf numFmtId="169" fontId="12" fillId="0" borderId="0" xfId="0" applyNumberFormat="1" applyFont="1"/>
    <xf numFmtId="0" fontId="12" fillId="0" borderId="0" xfId="0" applyFont="1"/>
    <xf numFmtId="0" fontId="60" fillId="0" borderId="0" xfId="0" applyFont="1" applyAlignment="1">
      <alignment horizontal="left"/>
    </xf>
    <xf numFmtId="169" fontId="60" fillId="0" borderId="0" xfId="0" applyNumberFormat="1" applyFont="1" applyAlignment="1">
      <alignment horizontal="left"/>
    </xf>
    <xf numFmtId="0" fontId="12" fillId="0" borderId="27" xfId="0" applyFont="1" applyBorder="1"/>
    <xf numFmtId="0" fontId="34" fillId="0" borderId="1" xfId="0" applyFont="1" applyBorder="1" applyAlignment="1">
      <alignment horizontal="left"/>
    </xf>
    <xf numFmtId="165" fontId="34" fillId="0" borderId="1" xfId="0" applyNumberFormat="1" applyFont="1" applyBorder="1" applyAlignment="1">
      <alignment horizontal="center"/>
    </xf>
    <xf numFmtId="0" fontId="12" fillId="0" borderId="11" xfId="0" applyFont="1" applyBorder="1"/>
    <xf numFmtId="0" fontId="34" fillId="0" borderId="14" xfId="0" applyFont="1" applyBorder="1"/>
    <xf numFmtId="165" fontId="34" fillId="0" borderId="14" xfId="0" applyNumberFormat="1" applyFont="1" applyBorder="1"/>
    <xf numFmtId="4" fontId="34" fillId="0" borderId="14" xfId="0" applyNumberFormat="1" applyFont="1" applyBorder="1"/>
    <xf numFmtId="0" fontId="34" fillId="0" borderId="13" xfId="0" applyFont="1" applyBorder="1"/>
    <xf numFmtId="165" fontId="34" fillId="0" borderId="13" xfId="0" applyNumberFormat="1" applyFont="1" applyBorder="1"/>
    <xf numFmtId="0" fontId="34" fillId="0" borderId="30" xfId="0" applyFont="1" applyBorder="1" applyAlignment="1">
      <alignment horizontal="center"/>
    </xf>
    <xf numFmtId="165" fontId="34" fillId="0" borderId="31" xfId="0" applyNumberFormat="1" applyFont="1" applyBorder="1" applyAlignment="1">
      <alignment horizontal="center"/>
    </xf>
    <xf numFmtId="4" fontId="34" fillId="0" borderId="1" xfId="0" applyNumberFormat="1" applyFont="1" applyBorder="1"/>
    <xf numFmtId="169" fontId="34" fillId="0" borderId="1" xfId="0" applyNumberFormat="1" applyFont="1" applyBorder="1" applyAlignment="1">
      <alignment horizontal="center"/>
    </xf>
    <xf numFmtId="4" fontId="34" fillId="0" borderId="33" xfId="0" applyNumberFormat="1" applyFont="1" applyBorder="1" applyAlignment="1">
      <alignment horizontal="center"/>
    </xf>
    <xf numFmtId="165" fontId="34" fillId="0" borderId="33" xfId="0" applyNumberFormat="1" applyFont="1" applyBorder="1" applyAlignment="1">
      <alignment horizontal="center"/>
    </xf>
    <xf numFmtId="169" fontId="34" fillId="0" borderId="33" xfId="0" applyNumberFormat="1" applyFont="1" applyBorder="1" applyAlignment="1">
      <alignment horizontal="center"/>
    </xf>
    <xf numFmtId="4" fontId="34" fillId="0" borderId="34" xfId="0" applyNumberFormat="1" applyFont="1" applyBorder="1" applyAlignment="1">
      <alignment horizontal="center"/>
    </xf>
    <xf numFmtId="165" fontId="34" fillId="0" borderId="34" xfId="0" applyNumberFormat="1" applyFont="1" applyBorder="1" applyAlignment="1">
      <alignment horizontal="center"/>
    </xf>
    <xf numFmtId="169" fontId="34" fillId="0" borderId="34" xfId="0" applyNumberFormat="1" applyFont="1" applyBorder="1" applyAlignment="1">
      <alignment horizontal="center"/>
    </xf>
    <xf numFmtId="4" fontId="34" fillId="0" borderId="0" xfId="0" applyNumberFormat="1" applyFont="1" applyAlignment="1">
      <alignment horizontal="center"/>
    </xf>
    <xf numFmtId="165" fontId="34" fillId="0" borderId="0" xfId="0" applyNumberFormat="1" applyFont="1" applyAlignment="1">
      <alignment horizontal="center"/>
    </xf>
    <xf numFmtId="0" fontId="12" fillId="0" borderId="35" xfId="0" applyFont="1" applyBorder="1" applyAlignment="1">
      <alignment horizontal="left"/>
    </xf>
    <xf numFmtId="0" fontId="12" fillId="0" borderId="0" xfId="0" applyFont="1" applyAlignment="1">
      <alignment horizontal="center" vertical="center"/>
    </xf>
    <xf numFmtId="169" fontId="34" fillId="0" borderId="0" xfId="0" applyNumberFormat="1" applyFont="1" applyAlignment="1">
      <alignment horizontal="center"/>
    </xf>
    <xf numFmtId="0" fontId="60" fillId="0" borderId="24" xfId="0" applyFont="1" applyBorder="1"/>
    <xf numFmtId="0" fontId="60" fillId="0" borderId="26" xfId="0" applyFont="1" applyBorder="1"/>
    <xf numFmtId="4" fontId="99" fillId="0" borderId="0" xfId="0" applyNumberFormat="1" applyFont="1" applyAlignment="1">
      <alignment horizontal="center"/>
    </xf>
    <xf numFmtId="0" fontId="34" fillId="0" borderId="34" xfId="0" applyFont="1" applyBorder="1" applyAlignment="1">
      <alignment horizontal="center"/>
    </xf>
    <xf numFmtId="0" fontId="60" fillId="0" borderId="27" xfId="0" applyFont="1" applyBorder="1"/>
    <xf numFmtId="0" fontId="60" fillId="0" borderId="22" xfId="0" applyFont="1" applyBorder="1"/>
    <xf numFmtId="0" fontId="12" fillId="0" borderId="36" xfId="0" applyFont="1" applyBorder="1"/>
    <xf numFmtId="0" fontId="60" fillId="0" borderId="38" xfId="0" applyFont="1" applyBorder="1"/>
    <xf numFmtId="0" fontId="34" fillId="0" borderId="0" xfId="0" applyFont="1" applyAlignment="1">
      <alignment horizontal="left"/>
    </xf>
    <xf numFmtId="43" fontId="34" fillId="0" borderId="0" xfId="1" applyFont="1"/>
    <xf numFmtId="43" fontId="99" fillId="0" borderId="0" xfId="1" applyFont="1"/>
    <xf numFmtId="0" fontId="34" fillId="0" borderId="3" xfId="0" applyFont="1" applyBorder="1" applyAlignment="1">
      <alignment horizontal="center" vertical="center" wrapText="1"/>
    </xf>
    <xf numFmtId="0" fontId="100" fillId="0" borderId="2" xfId="0" applyFont="1" applyBorder="1" applyAlignment="1">
      <alignment horizontal="left" vertical="center"/>
    </xf>
    <xf numFmtId="0" fontId="100" fillId="0" borderId="2" xfId="0" applyFont="1" applyBorder="1" applyAlignment="1">
      <alignment horizontal="left" vertical="center" wrapText="1"/>
    </xf>
    <xf numFmtId="43" fontId="34" fillId="0" borderId="12" xfId="1" applyFont="1" applyBorder="1" applyAlignment="1">
      <alignment horizontal="left"/>
    </xf>
    <xf numFmtId="0" fontId="100" fillId="0" borderId="2" xfId="0" applyFont="1" applyBorder="1" applyAlignment="1">
      <alignment horizontal="left"/>
    </xf>
    <xf numFmtId="0" fontId="102" fillId="0" borderId="14" xfId="0" applyFont="1" applyBorder="1" applyAlignment="1">
      <alignment horizontal="left"/>
    </xf>
    <xf numFmtId="0" fontId="99" fillId="0" borderId="14" xfId="0" applyFont="1" applyBorder="1" applyAlignment="1">
      <alignment horizontal="left"/>
    </xf>
    <xf numFmtId="0" fontId="100" fillId="0" borderId="14" xfId="0" applyFont="1" applyBorder="1" applyAlignment="1">
      <alignment horizontal="left"/>
    </xf>
    <xf numFmtId="0" fontId="100" fillId="0" borderId="13" xfId="0" applyFont="1" applyBorder="1" applyAlignment="1">
      <alignment horizontal="left"/>
    </xf>
    <xf numFmtId="43" fontId="34" fillId="0" borderId="12" xfId="1" applyFont="1" applyBorder="1"/>
    <xf numFmtId="0" fontId="34" fillId="0" borderId="11" xfId="0" applyFont="1" applyBorder="1" applyAlignment="1">
      <alignment horizontal="left"/>
    </xf>
    <xf numFmtId="0" fontId="100" fillId="0" borderId="14" xfId="0" applyFont="1" applyBorder="1" applyAlignment="1">
      <alignment horizontal="center" vertical="center" wrapText="1"/>
    </xf>
    <xf numFmtId="43" fontId="34" fillId="2" borderId="2" xfId="1" applyFont="1" applyFill="1" applyBorder="1" applyAlignment="1">
      <alignment horizontal="left"/>
    </xf>
    <xf numFmtId="43" fontId="34" fillId="0" borderId="14" xfId="1" applyFont="1" applyBorder="1" applyAlignment="1">
      <alignment horizontal="left"/>
    </xf>
    <xf numFmtId="43" fontId="34" fillId="0" borderId="0" xfId="0" applyNumberFormat="1" applyFont="1"/>
    <xf numFmtId="0" fontId="34" fillId="0" borderId="6" xfId="0" applyFont="1" applyBorder="1" applyAlignment="1">
      <alignment horizontal="left"/>
    </xf>
    <xf numFmtId="0" fontId="34" fillId="0" borderId="13" xfId="0" applyFont="1" applyBorder="1" applyAlignment="1">
      <alignment horizontal="right" vertical="center" wrapText="1"/>
    </xf>
    <xf numFmtId="0" fontId="100" fillId="0" borderId="13" xfId="0" applyFont="1" applyBorder="1" applyAlignment="1">
      <alignment horizontal="center" vertical="center" wrapText="1"/>
    </xf>
    <xf numFmtId="43" fontId="34" fillId="0" borderId="13" xfId="1" applyFont="1" applyBorder="1" applyAlignment="1">
      <alignment horizontal="center" vertical="center" wrapText="1"/>
    </xf>
    <xf numFmtId="0" fontId="34" fillId="0" borderId="7" xfId="0" applyFont="1" applyBorder="1" applyAlignment="1">
      <alignment horizontal="left"/>
    </xf>
    <xf numFmtId="43" fontId="40" fillId="0" borderId="13" xfId="1" applyFont="1" applyBorder="1" applyAlignment="1">
      <alignment horizontal="center"/>
    </xf>
    <xf numFmtId="0" fontId="104" fillId="0" borderId="0" xfId="0" applyFont="1"/>
    <xf numFmtId="4" fontId="40" fillId="0" borderId="1" xfId="0" applyNumberFormat="1" applyFont="1" applyBorder="1"/>
    <xf numFmtId="0" fontId="34" fillId="0" borderId="2" xfId="0" applyFont="1" applyBorder="1"/>
    <xf numFmtId="0" fontId="100" fillId="0" borderId="14" xfId="0" applyFont="1" applyBorder="1"/>
    <xf numFmtId="0" fontId="100" fillId="0" borderId="13" xfId="0" applyFont="1" applyBorder="1"/>
    <xf numFmtId="4" fontId="34" fillId="0" borderId="13" xfId="0" applyNumberFormat="1" applyFont="1" applyBorder="1"/>
    <xf numFmtId="0" fontId="34" fillId="0" borderId="11" xfId="0" applyFont="1" applyBorder="1"/>
    <xf numFmtId="0" fontId="34" fillId="0" borderId="14" xfId="0" applyFont="1" applyBorder="1" applyAlignment="1">
      <alignment horizontal="left"/>
    </xf>
    <xf numFmtId="43" fontId="34" fillId="0" borderId="14" xfId="1" applyFont="1" applyBorder="1"/>
    <xf numFmtId="0" fontId="40" fillId="0" borderId="14" xfId="0" applyFont="1" applyBorder="1" applyAlignment="1">
      <alignment horizontal="left"/>
    </xf>
    <xf numFmtId="0" fontId="40" fillId="0" borderId="14" xfId="0" applyFont="1" applyBorder="1"/>
    <xf numFmtId="0" fontId="39" fillId="0" borderId="13" xfId="0" applyFont="1" applyBorder="1" applyAlignment="1">
      <alignment horizontal="left"/>
    </xf>
    <xf numFmtId="43" fontId="34" fillId="0" borderId="13" xfId="1" applyFont="1" applyBorder="1"/>
    <xf numFmtId="0" fontId="34" fillId="0" borderId="6" xfId="0" applyFont="1" applyBorder="1"/>
    <xf numFmtId="0" fontId="34" fillId="0" borderId="7" xfId="0" applyFont="1" applyBorder="1"/>
    <xf numFmtId="43" fontId="99" fillId="0" borderId="1" xfId="1" applyFont="1" applyBorder="1"/>
    <xf numFmtId="170" fontId="34" fillId="0" borderId="0" xfId="0" applyNumberFormat="1" applyFont="1"/>
    <xf numFmtId="0" fontId="40" fillId="0" borderId="0" xfId="0" applyFont="1"/>
    <xf numFmtId="0" fontId="105" fillId="0" borderId="0" xfId="0" applyFont="1" applyAlignment="1">
      <alignment horizontal="center"/>
    </xf>
    <xf numFmtId="0" fontId="40" fillId="0" borderId="3" xfId="0" applyFont="1" applyBorder="1" applyAlignment="1">
      <alignment horizontal="center"/>
    </xf>
    <xf numFmtId="0" fontId="40" fillId="0" borderId="1" xfId="0" applyFont="1" applyBorder="1" applyAlignment="1">
      <alignment horizontal="center"/>
    </xf>
    <xf numFmtId="0" fontId="34" fillId="0" borderId="2" xfId="0" applyFont="1" applyBorder="1" applyAlignment="1">
      <alignment horizontal="center"/>
    </xf>
    <xf numFmtId="0" fontId="34" fillId="0" borderId="14" xfId="0" applyFont="1" applyBorder="1" applyAlignment="1">
      <alignment horizontal="center"/>
    </xf>
    <xf numFmtId="0" fontId="34" fillId="0" borderId="13" xfId="0" applyFont="1" applyBorder="1" applyAlignment="1">
      <alignment horizontal="center" vertical="center" wrapText="1"/>
    </xf>
    <xf numFmtId="165" fontId="34" fillId="0" borderId="6" xfId="0" applyNumberFormat="1" applyFont="1" applyBorder="1"/>
    <xf numFmtId="0" fontId="34" fillId="0" borderId="13" xfId="0" applyFont="1" applyBorder="1" applyAlignment="1">
      <alignment horizontal="center"/>
    </xf>
    <xf numFmtId="0" fontId="40" fillId="0" borderId="1" xfId="0" applyFont="1" applyBorder="1"/>
    <xf numFmtId="0" fontId="34" fillId="0" borderId="3" xfId="0" applyFont="1" applyBorder="1"/>
    <xf numFmtId="0" fontId="34" fillId="0" borderId="4" xfId="0" applyFont="1" applyBorder="1"/>
    <xf numFmtId="165" fontId="34" fillId="0" borderId="5" xfId="0" applyNumberFormat="1" applyFont="1" applyBorder="1"/>
    <xf numFmtId="165" fontId="34" fillId="0" borderId="12" xfId="0" applyNumberFormat="1" applyFont="1" applyBorder="1"/>
    <xf numFmtId="165" fontId="34" fillId="0" borderId="8" xfId="0" applyNumberFormat="1" applyFont="1" applyBorder="1"/>
    <xf numFmtId="0" fontId="59" fillId="0" borderId="0" xfId="0" applyFont="1"/>
    <xf numFmtId="0" fontId="106" fillId="0" borderId="0" xfId="0" applyFont="1"/>
    <xf numFmtId="0" fontId="111" fillId="0" borderId="0" xfId="0" applyFont="1"/>
    <xf numFmtId="0" fontId="112" fillId="0" borderId="0" xfId="0" applyFont="1"/>
    <xf numFmtId="4" fontId="111" fillId="0" borderId="0" xfId="0" applyNumberFormat="1" applyFont="1"/>
    <xf numFmtId="0" fontId="49" fillId="0" borderId="0" xfId="0" applyFont="1"/>
    <xf numFmtId="0" fontId="113" fillId="0" borderId="0" xfId="0" applyFont="1"/>
    <xf numFmtId="0" fontId="0" fillId="0" borderId="0" xfId="0" applyAlignment="1">
      <alignment horizontal="left"/>
    </xf>
    <xf numFmtId="0" fontId="26" fillId="0" borderId="0" xfId="0" applyFont="1" applyAlignment="1">
      <alignment horizontal="left"/>
    </xf>
    <xf numFmtId="0" fontId="114" fillId="0" borderId="0" xfId="5" applyAlignment="1">
      <alignment horizontal="center" vertical="center" wrapText="1"/>
    </xf>
    <xf numFmtId="0" fontId="98" fillId="11" borderId="1" xfId="0" applyFont="1" applyFill="1" applyBorder="1" applyAlignment="1">
      <alignment horizontal="center" vertical="center" wrapText="1"/>
    </xf>
    <xf numFmtId="43" fontId="34" fillId="2" borderId="2" xfId="1" applyFont="1" applyFill="1" applyBorder="1"/>
    <xf numFmtId="43" fontId="34" fillId="2" borderId="14" xfId="1" applyFont="1" applyFill="1" applyBorder="1"/>
    <xf numFmtId="10" fontId="28" fillId="0" borderId="0" xfId="0" applyNumberFormat="1" applyFont="1" applyAlignment="1">
      <alignment horizontal="center" vertical="center"/>
    </xf>
    <xf numFmtId="10" fontId="0" fillId="0" borderId="1" xfId="0" applyNumberFormat="1" applyBorder="1" applyAlignment="1">
      <alignment horizontal="center" vertical="center" wrapText="1"/>
    </xf>
    <xf numFmtId="10" fontId="85" fillId="8" borderId="1" xfId="0" applyNumberFormat="1" applyFont="1" applyFill="1" applyBorder="1" applyAlignment="1">
      <alignment horizontal="center" vertical="center" wrapText="1"/>
    </xf>
    <xf numFmtId="10" fontId="115" fillId="8" borderId="1" xfId="0" applyNumberFormat="1" applyFont="1" applyFill="1" applyBorder="1" applyAlignment="1">
      <alignment horizontal="center" vertical="center" wrapText="1"/>
    </xf>
    <xf numFmtId="43" fontId="115" fillId="16" borderId="1" xfId="1" applyFont="1" applyFill="1" applyBorder="1" applyAlignment="1">
      <alignment horizontal="center" vertical="center" wrapText="1"/>
    </xf>
    <xf numFmtId="43" fontId="115" fillId="8" borderId="1" xfId="1" applyFont="1" applyFill="1" applyBorder="1" applyAlignment="1">
      <alignment horizontal="center" vertical="center" wrapText="1"/>
    </xf>
    <xf numFmtId="0" fontId="34" fillId="0" borderId="26" xfId="0" applyFont="1" applyBorder="1" applyAlignment="1">
      <alignment horizontal="center" vertical="center"/>
    </xf>
    <xf numFmtId="0" fontId="34" fillId="0" borderId="22" xfId="0" applyFont="1" applyBorder="1" applyAlignment="1">
      <alignment horizontal="center" vertical="center"/>
    </xf>
    <xf numFmtId="0" fontId="12" fillId="0" borderId="22" xfId="0" applyFont="1" applyBorder="1" applyAlignment="1">
      <alignment horizontal="center" vertical="center"/>
    </xf>
    <xf numFmtId="4" fontId="34" fillId="0" borderId="14" xfId="0" applyNumberFormat="1" applyFont="1" applyBorder="1" applyAlignment="1">
      <alignment horizontal="center" vertical="center"/>
    </xf>
    <xf numFmtId="0" fontId="34" fillId="0" borderId="13" xfId="0" applyFont="1" applyBorder="1" applyAlignment="1">
      <alignment horizontal="center" vertical="center"/>
    </xf>
    <xf numFmtId="4" fontId="34" fillId="0" borderId="1" xfId="0" applyNumberFormat="1" applyFont="1" applyBorder="1" applyAlignment="1">
      <alignment horizontal="center" vertical="center"/>
    </xf>
    <xf numFmtId="4" fontId="34" fillId="0" borderId="0" xfId="0" applyNumberFormat="1" applyFont="1" applyAlignment="1">
      <alignment horizontal="center" vertical="center"/>
    </xf>
    <xf numFmtId="4" fontId="34" fillId="0" borderId="33" xfId="0" applyNumberFormat="1" applyFont="1" applyBorder="1" applyAlignment="1">
      <alignment horizontal="center" vertical="center"/>
    </xf>
    <xf numFmtId="4" fontId="34" fillId="0" borderId="34" xfId="0" applyNumberFormat="1" applyFont="1" applyBorder="1" applyAlignment="1">
      <alignment horizontal="center" vertical="center"/>
    </xf>
    <xf numFmtId="0" fontId="34" fillId="0" borderId="0" xfId="0" applyFont="1" applyAlignment="1">
      <alignment horizontal="center" vertical="center"/>
    </xf>
    <xf numFmtId="4" fontId="99" fillId="0" borderId="34" xfId="0" applyNumberFormat="1" applyFont="1" applyBorder="1" applyAlignment="1">
      <alignment horizontal="center" vertical="center"/>
    </xf>
    <xf numFmtId="4" fontId="99" fillId="0" borderId="37" xfId="0" applyNumberFormat="1" applyFont="1" applyBorder="1" applyAlignment="1">
      <alignment horizontal="center" vertical="center"/>
    </xf>
    <xf numFmtId="43" fontId="34" fillId="0" borderId="0" xfId="1" applyFont="1" applyAlignment="1">
      <alignment horizontal="center" vertical="center"/>
    </xf>
    <xf numFmtId="43" fontId="34" fillId="0" borderId="12" xfId="1" applyFont="1" applyBorder="1" applyAlignment="1">
      <alignment horizontal="center" vertical="center"/>
    </xf>
    <xf numFmtId="43" fontId="34" fillId="0" borderId="8" xfId="1" applyFont="1" applyBorder="1" applyAlignment="1">
      <alignment horizontal="center" vertical="center"/>
    </xf>
    <xf numFmtId="43" fontId="99" fillId="0" borderId="0" xfId="1" applyFont="1" applyAlignment="1">
      <alignment horizontal="center" vertical="center"/>
    </xf>
    <xf numFmtId="43" fontId="99" fillId="0" borderId="8" xfId="1" applyFont="1" applyBorder="1" applyAlignment="1">
      <alignment horizontal="center" vertical="center"/>
    </xf>
    <xf numFmtId="0" fontId="34" fillId="0" borderId="8" xfId="0" applyFont="1" applyBorder="1" applyAlignment="1">
      <alignment horizontal="center" vertical="center"/>
    </xf>
    <xf numFmtId="43" fontId="34" fillId="0" borderId="12" xfId="1" applyFont="1" applyBorder="1" applyAlignment="1">
      <alignment horizontal="center" vertical="center" wrapText="1"/>
    </xf>
    <xf numFmtId="0" fontId="114" fillId="0" borderId="0" xfId="5"/>
    <xf numFmtId="43" fontId="34" fillId="0" borderId="0" xfId="1" applyFont="1" applyBorder="1"/>
    <xf numFmtId="43" fontId="99" fillId="0" borderId="0" xfId="1" applyFont="1" applyBorder="1" applyAlignment="1">
      <alignment horizontal="center" vertical="center"/>
    </xf>
    <xf numFmtId="43" fontId="34" fillId="2" borderId="1" xfId="0" applyNumberFormat="1" applyFont="1" applyFill="1" applyBorder="1" applyAlignment="1">
      <alignment horizontal="right" vertical="center" wrapText="1"/>
    </xf>
    <xf numFmtId="43" fontId="34" fillId="0" borderId="1" xfId="0" applyNumberFormat="1" applyFont="1" applyBorder="1" applyAlignment="1">
      <alignment horizontal="right" vertical="center" wrapText="1"/>
    </xf>
    <xf numFmtId="164" fontId="34" fillId="2" borderId="1" xfId="0" applyNumberFormat="1" applyFont="1" applyFill="1" applyBorder="1" applyAlignment="1">
      <alignment horizontal="right" vertical="center" wrapText="1"/>
    </xf>
    <xf numFmtId="43" fontId="40" fillId="2" borderId="1" xfId="0" applyNumberFormat="1" applyFont="1" applyFill="1" applyBorder="1" applyAlignment="1">
      <alignment horizontal="right" vertical="center" wrapText="1"/>
    </xf>
    <xf numFmtId="164" fontId="40" fillId="2" borderId="1" xfId="0" applyNumberFormat="1" applyFont="1" applyFill="1" applyBorder="1" applyAlignment="1">
      <alignment horizontal="right" vertical="center" wrapText="1"/>
    </xf>
    <xf numFmtId="43" fontId="40" fillId="0" borderId="1" xfId="0" applyNumberFormat="1" applyFont="1" applyBorder="1" applyAlignment="1">
      <alignment horizontal="right"/>
    </xf>
    <xf numFmtId="4" fontId="40" fillId="2" borderId="1" xfId="0" applyNumberFormat="1" applyFont="1" applyFill="1" applyBorder="1" applyAlignment="1">
      <alignment horizontal="right"/>
    </xf>
    <xf numFmtId="4" fontId="34" fillId="2" borderId="1" xfId="0" applyNumberFormat="1" applyFont="1" applyFill="1" applyBorder="1" applyAlignment="1">
      <alignment horizontal="right"/>
    </xf>
    <xf numFmtId="4" fontId="34" fillId="0" borderId="1" xfId="0" applyNumberFormat="1" applyFont="1" applyBorder="1" applyAlignment="1">
      <alignment horizontal="right"/>
    </xf>
    <xf numFmtId="43" fontId="39" fillId="0" borderId="12" xfId="1" applyFont="1" applyBorder="1" applyAlignment="1">
      <alignment horizontal="center" vertical="center"/>
    </xf>
    <xf numFmtId="43" fontId="34" fillId="0" borderId="1" xfId="0" applyNumberFormat="1" applyFont="1" applyBorder="1"/>
    <xf numFmtId="43" fontId="40" fillId="0" borderId="1" xfId="0" applyNumberFormat="1" applyFont="1" applyBorder="1"/>
    <xf numFmtId="10" fontId="98" fillId="11" borderId="1" xfId="0" applyNumberFormat="1" applyFont="1" applyFill="1" applyBorder="1" applyAlignment="1">
      <alignment horizontal="center" vertical="center" wrapText="1"/>
    </xf>
    <xf numFmtId="0" fontId="62" fillId="0" borderId="1" xfId="0" applyFont="1" applyBorder="1" applyAlignment="1">
      <alignment horizontal="center"/>
    </xf>
    <xf numFmtId="14" fontId="117" fillId="0" borderId="1" xfId="2" applyNumberFormat="1" applyFont="1" applyBorder="1" applyAlignment="1">
      <alignment horizontal="center"/>
    </xf>
    <xf numFmtId="0" fontId="118" fillId="0" borderId="1" xfId="2" applyFont="1" applyBorder="1" applyAlignment="1">
      <alignment horizontal="center"/>
    </xf>
    <xf numFmtId="0" fontId="53" fillId="0" borderId="7" xfId="0" applyFont="1" applyBorder="1" applyAlignment="1">
      <alignment horizontal="center" vertical="center" wrapText="1"/>
    </xf>
    <xf numFmtId="0" fontId="119" fillId="0" borderId="22" xfId="0" applyFont="1" applyBorder="1"/>
    <xf numFmtId="0" fontId="119" fillId="0" borderId="0" xfId="0" applyFont="1"/>
    <xf numFmtId="0" fontId="120" fillId="0" borderId="0" xfId="0" applyFont="1"/>
    <xf numFmtId="10" fontId="119" fillId="0" borderId="0" xfId="0" applyNumberFormat="1" applyFont="1"/>
    <xf numFmtId="0" fontId="37" fillId="0" borderId="0" xfId="0" applyFont="1" applyAlignment="1">
      <alignment horizontal="center"/>
    </xf>
    <xf numFmtId="0" fontId="120" fillId="0" borderId="0" xfId="0" applyFont="1" applyAlignment="1">
      <alignment horizontal="left"/>
    </xf>
    <xf numFmtId="4" fontId="119" fillId="0" borderId="0" xfId="0" applyNumberFormat="1" applyFont="1"/>
    <xf numFmtId="4" fontId="119" fillId="0" borderId="0" xfId="0" applyNumberFormat="1" applyFont="1" applyAlignment="1">
      <alignment horizontal="center"/>
    </xf>
    <xf numFmtId="0" fontId="121" fillId="0" borderId="13" xfId="0" applyFont="1" applyBorder="1" applyAlignment="1">
      <alignment horizontal="center" vertical="center" wrapText="1"/>
    </xf>
    <xf numFmtId="0" fontId="52" fillId="0" borderId="0" xfId="0" applyFont="1"/>
    <xf numFmtId="0" fontId="121" fillId="0" borderId="1" xfId="0" quotePrefix="1" applyFont="1" applyBorder="1" applyAlignment="1">
      <alignment horizontal="center" vertical="center" wrapText="1"/>
    </xf>
    <xf numFmtId="0" fontId="121" fillId="0" borderId="1" xfId="0" applyFont="1" applyBorder="1" applyAlignment="1">
      <alignment horizontal="right"/>
    </xf>
    <xf numFmtId="0" fontId="121" fillId="0" borderId="1" xfId="0" applyFont="1" applyBorder="1" applyAlignment="1">
      <alignment horizontal="center" vertical="center" wrapText="1"/>
    </xf>
    <xf numFmtId="0" fontId="122" fillId="0" borderId="0" xfId="0" applyFont="1"/>
    <xf numFmtId="0" fontId="123" fillId="0" borderId="0" xfId="0" applyFont="1"/>
    <xf numFmtId="10" fontId="3" fillId="2" borderId="10" xfId="3" applyNumberFormat="1" applyFont="1" applyFill="1" applyBorder="1" applyAlignment="1">
      <alignment horizontal="center" vertical="center"/>
    </xf>
    <xf numFmtId="10" fontId="34" fillId="0" borderId="10" xfId="0" applyNumberFormat="1" applyFont="1" applyBorder="1"/>
    <xf numFmtId="10" fontId="34" fillId="0" borderId="10" xfId="0" applyNumberFormat="1" applyFont="1" applyBorder="1" applyAlignment="1">
      <alignment vertical="center" wrapText="1"/>
    </xf>
    <xf numFmtId="10" fontId="34" fillId="0" borderId="10" xfId="3" applyNumberFormat="1" applyFont="1" applyFill="1" applyBorder="1" applyAlignment="1">
      <alignment vertical="center" wrapText="1"/>
    </xf>
    <xf numFmtId="10" fontId="29" fillId="0" borderId="10" xfId="0" applyNumberFormat="1" applyFont="1" applyBorder="1" applyAlignment="1">
      <alignment vertical="center" wrapText="1"/>
    </xf>
    <xf numFmtId="10" fontId="29" fillId="0" borderId="1" xfId="0" applyNumberFormat="1" applyFont="1" applyBorder="1"/>
    <xf numFmtId="10" fontId="0" fillId="0" borderId="1" xfId="3" applyNumberFormat="1" applyFont="1" applyBorder="1" applyAlignment="1">
      <alignment horizontal="center"/>
    </xf>
    <xf numFmtId="4" fontId="0" fillId="0" borderId="1" xfId="0" applyNumberFormat="1" applyBorder="1" applyAlignment="1">
      <alignment horizontal="center" vertical="center" wrapText="1"/>
    </xf>
    <xf numFmtId="170" fontId="34" fillId="0" borderId="0" xfId="1" applyNumberFormat="1" applyFont="1" applyBorder="1"/>
    <xf numFmtId="164" fontId="85" fillId="11" borderId="10" xfId="0" applyNumberFormat="1" applyFont="1" applyFill="1" applyBorder="1" applyAlignment="1">
      <alignment horizontal="center"/>
    </xf>
    <xf numFmtId="43" fontId="95" fillId="9" borderId="1" xfId="0" applyNumberFormat="1" applyFont="1" applyFill="1" applyBorder="1" applyAlignment="1">
      <alignment horizontal="center" vertical="center"/>
    </xf>
    <xf numFmtId="0" fontId="85" fillId="11" borderId="1" xfId="0" applyFont="1" applyFill="1" applyBorder="1"/>
    <xf numFmtId="170" fontId="34" fillId="0" borderId="3" xfId="1" applyNumberFormat="1" applyFont="1" applyBorder="1"/>
    <xf numFmtId="170" fontId="34" fillId="0" borderId="4" xfId="1" applyNumberFormat="1" applyFont="1" applyBorder="1"/>
    <xf numFmtId="170" fontId="34" fillId="0" borderId="11" xfId="1" applyNumberFormat="1" applyFont="1" applyBorder="1" applyAlignment="1">
      <alignment horizontal="right"/>
    </xf>
    <xf numFmtId="170" fontId="34" fillId="0" borderId="11" xfId="1" applyNumberFormat="1" applyFont="1" applyBorder="1"/>
    <xf numFmtId="170" fontId="34" fillId="0" borderId="6" xfId="1" applyNumberFormat="1" applyFont="1" applyBorder="1"/>
    <xf numFmtId="170" fontId="34" fillId="0" borderId="7" xfId="1" applyNumberFormat="1" applyFont="1" applyBorder="1"/>
    <xf numFmtId="170" fontId="34" fillId="0" borderId="1" xfId="1" applyNumberFormat="1" applyFont="1" applyBorder="1" applyAlignment="1">
      <alignment horizontal="center"/>
    </xf>
    <xf numFmtId="164" fontId="34" fillId="0" borderId="1" xfId="0" applyNumberFormat="1" applyFont="1" applyBorder="1" applyAlignment="1">
      <alignment horizontal="center"/>
    </xf>
    <xf numFmtId="0" fontId="0" fillId="2" borderId="0" xfId="0" applyFill="1"/>
    <xf numFmtId="0" fontId="0" fillId="2" borderId="0" xfId="0" applyFill="1" applyAlignment="1">
      <alignment horizontal="center"/>
    </xf>
    <xf numFmtId="0" fontId="34" fillId="0" borderId="1" xfId="0" applyFont="1" applyBorder="1" applyAlignment="1">
      <alignment vertical="center" wrapText="1"/>
    </xf>
    <xf numFmtId="9" fontId="34" fillId="0" borderId="1" xfId="0" applyNumberFormat="1"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2" fontId="34" fillId="0" borderId="0" xfId="0" applyNumberFormat="1" applyFont="1" applyAlignment="1">
      <alignment horizontal="center"/>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184" fontId="34" fillId="0" borderId="1" xfId="1" quotePrefix="1" applyNumberFormat="1" applyFont="1" applyBorder="1" applyAlignment="1">
      <alignment horizontal="center" vertical="center" wrapText="1"/>
    </xf>
    <xf numFmtId="10" fontId="124" fillId="17" borderId="9" xfId="3" applyNumberFormat="1" applyFont="1" applyFill="1" applyBorder="1" applyAlignment="1">
      <alignment horizontal="center" vertical="center"/>
    </xf>
    <xf numFmtId="10" fontId="124" fillId="17" borderId="1" xfId="3" applyNumberFormat="1" applyFont="1" applyFill="1" applyBorder="1" applyAlignment="1">
      <alignment horizontal="center" vertical="center"/>
    </xf>
    <xf numFmtId="0" fontId="83" fillId="0" borderId="0" xfId="0" applyFont="1"/>
    <xf numFmtId="171" fontId="125" fillId="17" borderId="9" xfId="1" applyNumberFormat="1" applyFont="1" applyFill="1" applyBorder="1" applyAlignment="1">
      <alignment horizontal="right" vertical="center" wrapText="1"/>
    </xf>
    <xf numFmtId="171" fontId="125" fillId="17" borderId="1" xfId="1" applyNumberFormat="1" applyFont="1" applyFill="1" applyBorder="1" applyAlignment="1">
      <alignment horizontal="right" vertical="center" wrapText="1"/>
    </xf>
    <xf numFmtId="43" fontId="125" fillId="17" borderId="1" xfId="1" applyFont="1" applyFill="1" applyBorder="1" applyAlignment="1">
      <alignment horizontal="right" vertical="center"/>
    </xf>
    <xf numFmtId="43" fontId="34" fillId="2" borderId="1" xfId="1" applyFont="1" applyFill="1" applyBorder="1" applyAlignment="1">
      <alignment horizontal="center" vertical="center" wrapText="1"/>
    </xf>
    <xf numFmtId="43" fontId="34" fillId="0" borderId="1" xfId="0" applyNumberFormat="1" applyFont="1" applyBorder="1" applyAlignment="1">
      <alignment horizontal="center" vertical="center" wrapText="1"/>
    </xf>
    <xf numFmtId="0" fontId="85" fillId="17" borderId="1" xfId="0" quotePrefix="1" applyFont="1" applyFill="1" applyBorder="1"/>
    <xf numFmtId="0" fontId="41" fillId="0" borderId="0" xfId="0" applyFont="1" applyAlignment="1">
      <alignment horizontal="center" vertical="center"/>
    </xf>
    <xf numFmtId="0" fontId="39" fillId="0" borderId="13" xfId="0" applyFont="1" applyBorder="1"/>
    <xf numFmtId="0" fontId="98" fillId="0" borderId="0" xfId="0" applyFont="1" applyAlignment="1">
      <alignment horizontal="center" vertical="center" wrapText="1"/>
    </xf>
    <xf numFmtId="10" fontId="34" fillId="0" borderId="0" xfId="0" applyNumberFormat="1" applyFont="1" applyAlignment="1">
      <alignment horizontal="center" vertical="center" wrapText="1"/>
    </xf>
    <xf numFmtId="10" fontId="98" fillId="0" borderId="0" xfId="0" applyNumberFormat="1" applyFont="1" applyAlignment="1">
      <alignment horizontal="center" vertical="center" wrapText="1"/>
    </xf>
    <xf numFmtId="43" fontId="40" fillId="0" borderId="0" xfId="0" applyNumberFormat="1" applyFont="1"/>
    <xf numFmtId="9" fontId="0" fillId="0" borderId="0" xfId="0" applyNumberFormat="1"/>
    <xf numFmtId="10" fontId="85" fillId="17" borderId="0" xfId="0" applyNumberFormat="1" applyFont="1" applyFill="1"/>
    <xf numFmtId="10" fontId="85" fillId="0" borderId="0" xfId="0" applyNumberFormat="1" applyFont="1" applyAlignment="1">
      <alignment horizontal="center" vertical="center" wrapText="1"/>
    </xf>
    <xf numFmtId="10" fontId="0" fillId="0" borderId="0" xfId="0" applyNumberFormat="1" applyAlignment="1">
      <alignment horizontal="center" vertical="center" wrapText="1"/>
    </xf>
    <xf numFmtId="10" fontId="115" fillId="0" borderId="0" xfId="0" applyNumberFormat="1" applyFont="1" applyAlignment="1">
      <alignment horizontal="center" vertical="center" wrapText="1"/>
    </xf>
    <xf numFmtId="43" fontId="116" fillId="11" borderId="10" xfId="0" applyNumberFormat="1" applyFont="1" applyFill="1" applyBorder="1" applyAlignment="1">
      <alignment horizontal="center" vertical="center" wrapText="1"/>
    </xf>
    <xf numFmtId="4" fontId="34" fillId="0" borderId="0" xfId="0" applyNumberFormat="1" applyFont="1" applyAlignment="1">
      <alignment horizontal="center" vertical="center" wrapText="1"/>
    </xf>
    <xf numFmtId="43" fontId="115" fillId="0" borderId="0" xfId="1" applyFont="1" applyFill="1" applyBorder="1" applyAlignment="1">
      <alignment horizontal="center" vertical="center" wrapText="1"/>
    </xf>
    <xf numFmtId="0" fontId="85" fillId="0" borderId="0" xfId="0" applyFont="1" applyAlignment="1">
      <alignment horizontal="center" vertical="center" wrapText="1"/>
    </xf>
    <xf numFmtId="10" fontId="34" fillId="0" borderId="1" xfId="3" applyNumberFormat="1" applyFont="1" applyBorder="1" applyAlignment="1">
      <alignment vertical="center" wrapText="1"/>
    </xf>
    <xf numFmtId="4" fontId="31" fillId="2" borderId="1" xfId="0" applyNumberFormat="1" applyFont="1" applyFill="1" applyBorder="1" applyAlignment="1">
      <alignment horizontal="center" vertical="center"/>
    </xf>
    <xf numFmtId="4" fontId="31" fillId="2" borderId="10" xfId="0" quotePrefix="1" applyNumberFormat="1" applyFont="1" applyFill="1" applyBorder="1" applyAlignment="1">
      <alignment horizontal="center" vertical="center"/>
    </xf>
    <xf numFmtId="43" fontId="27" fillId="2" borderId="1" xfId="1" quotePrefix="1" applyFont="1" applyFill="1" applyBorder="1"/>
    <xf numFmtId="4" fontId="95" fillId="9" borderId="1" xfId="0" applyNumberFormat="1" applyFont="1" applyFill="1" applyBorder="1" applyAlignment="1">
      <alignment horizontal="center" vertical="center"/>
    </xf>
    <xf numFmtId="10" fontId="3" fillId="0" borderId="0" xfId="3" applyNumberFormat="1" applyFont="1" applyBorder="1" applyAlignment="1">
      <alignment horizontal="center" vertical="center"/>
    </xf>
    <xf numFmtId="0" fontId="85" fillId="17" borderId="1" xfId="0" applyFont="1" applyFill="1" applyBorder="1" applyAlignment="1">
      <alignment horizontal="center" vertical="center" wrapText="1"/>
    </xf>
    <xf numFmtId="43" fontId="85" fillId="17" borderId="1" xfId="0" applyNumberFormat="1" applyFont="1" applyFill="1" applyBorder="1" applyAlignment="1">
      <alignment horizontal="center" vertical="center" wrapText="1"/>
    </xf>
    <xf numFmtId="9" fontId="0" fillId="0" borderId="1" xfId="0" applyNumberFormat="1" applyBorder="1"/>
    <xf numFmtId="10" fontId="0" fillId="0" borderId="1" xfId="0" applyNumberFormat="1" applyBorder="1"/>
    <xf numFmtId="43" fontId="0" fillId="0" borderId="1" xfId="0" applyNumberFormat="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0" fillId="0" borderId="0" xfId="0"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3"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7"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2"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4" fillId="0" borderId="1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4" fontId="41" fillId="0" borderId="1" xfId="0" applyNumberFormat="1" applyFont="1" applyBorder="1" applyAlignment="1">
      <alignment horizontal="center"/>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33" fillId="0" borderId="1" xfId="0" applyFont="1" applyBorder="1" applyAlignment="1">
      <alignment horizontal="center"/>
    </xf>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33" fillId="0" borderId="1" xfId="0" applyFont="1" applyBorder="1" applyAlignment="1">
      <alignment horizontal="center" vertical="center" wrapText="1"/>
    </xf>
    <xf numFmtId="0" fontId="35" fillId="10" borderId="1" xfId="0" applyFont="1" applyFill="1" applyBorder="1" applyAlignment="1">
      <alignment horizontal="center" vertic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2"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165" fontId="40" fillId="0" borderId="1" xfId="0" applyNumberFormat="1" applyFont="1" applyBorder="1" applyAlignment="1">
      <alignment horizontal="center"/>
    </xf>
    <xf numFmtId="0" fontId="34" fillId="0" borderId="2"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13" xfId="0" applyFont="1" applyBorder="1" applyAlignment="1">
      <alignment horizontal="center" vertical="center" wrapText="1"/>
    </xf>
    <xf numFmtId="165" fontId="34" fillId="0" borderId="11" xfId="0" applyNumberFormat="1" applyFont="1" applyBorder="1" applyAlignment="1">
      <alignment horizontal="center"/>
    </xf>
    <xf numFmtId="165" fontId="34" fillId="0" borderId="12" xfId="0" applyNumberFormat="1" applyFont="1" applyBorder="1" applyAlignment="1">
      <alignment horizontal="center"/>
    </xf>
    <xf numFmtId="0" fontId="107" fillId="0" borderId="0" xfId="0" applyFont="1" applyAlignment="1">
      <alignment horizontal="center" vertical="center"/>
    </xf>
    <xf numFmtId="0" fontId="109" fillId="0" borderId="3" xfId="0" applyFont="1" applyBorder="1" applyAlignment="1">
      <alignment horizontal="left" vertical="center" wrapText="1"/>
    </xf>
    <xf numFmtId="0" fontId="109" fillId="0" borderId="4" xfId="0" applyFont="1" applyBorder="1" applyAlignment="1">
      <alignment horizontal="left" vertical="center" wrapText="1"/>
    </xf>
    <xf numFmtId="0" fontId="109" fillId="0" borderId="11" xfId="0" applyFont="1" applyBorder="1" applyAlignment="1">
      <alignment horizontal="left" vertical="center" wrapText="1"/>
    </xf>
    <xf numFmtId="0" fontId="109" fillId="0" borderId="0" xfId="0" applyFont="1" applyAlignment="1">
      <alignment horizontal="left" vertical="center" wrapText="1"/>
    </xf>
    <xf numFmtId="0" fontId="109" fillId="0" borderId="6" xfId="0" applyFont="1" applyBorder="1" applyAlignment="1">
      <alignment horizontal="left" vertical="center" wrapText="1"/>
    </xf>
    <xf numFmtId="0" fontId="109" fillId="0" borderId="7" xfId="0" applyFont="1" applyBorder="1" applyAlignment="1">
      <alignment horizontal="left" vertical="center" wrapText="1"/>
    </xf>
    <xf numFmtId="165" fontId="34" fillId="0" borderId="1" xfId="0" applyNumberFormat="1" applyFont="1" applyBorder="1" applyAlignment="1">
      <alignment horizontal="center"/>
    </xf>
    <xf numFmtId="0" fontId="107" fillId="0" borderId="0" xfId="0" applyFont="1" applyAlignment="1">
      <alignment horizontal="left" vertical="center" wrapText="1"/>
    </xf>
    <xf numFmtId="0" fontId="107" fillId="0" borderId="0" xfId="0" applyFont="1" applyAlignment="1">
      <alignment horizontal="left" vertical="center"/>
    </xf>
    <xf numFmtId="0" fontId="99" fillId="15" borderId="0" xfId="0" applyFont="1" applyFill="1" applyAlignment="1">
      <alignment horizontal="center"/>
    </xf>
    <xf numFmtId="0" fontId="103" fillId="10" borderId="3" xfId="0" applyFont="1" applyFill="1" applyBorder="1" applyAlignment="1">
      <alignment horizontal="center" vertical="center" wrapText="1"/>
    </xf>
    <xf numFmtId="0" fontId="103" fillId="10" borderId="5" xfId="0" applyFont="1" applyFill="1" applyBorder="1" applyAlignment="1">
      <alignment horizontal="center" vertical="center" wrapText="1"/>
    </xf>
    <xf numFmtId="0" fontId="103" fillId="10" borderId="11" xfId="0" applyFont="1" applyFill="1" applyBorder="1" applyAlignment="1">
      <alignment horizontal="center" vertical="center" wrapText="1"/>
    </xf>
    <xf numFmtId="0" fontId="103" fillId="10" borderId="12" xfId="0" applyFont="1" applyFill="1" applyBorder="1" applyAlignment="1">
      <alignment horizontal="center" vertical="center" wrapText="1"/>
    </xf>
    <xf numFmtId="0" fontId="103" fillId="10" borderId="6" xfId="0" applyFont="1" applyFill="1" applyBorder="1" applyAlignment="1">
      <alignment horizontal="center" vertical="center" wrapText="1"/>
    </xf>
    <xf numFmtId="0" fontId="103" fillId="10" borderId="8" xfId="0" applyFont="1" applyFill="1" applyBorder="1" applyAlignment="1">
      <alignment horizontal="center" vertical="center" wrapText="1"/>
    </xf>
    <xf numFmtId="43" fontId="98" fillId="11" borderId="11" xfId="1" applyFont="1" applyFill="1" applyBorder="1" applyAlignment="1">
      <alignment horizontal="center" vertical="center" wrapText="1"/>
    </xf>
    <xf numFmtId="43" fontId="98" fillId="11" borderId="12" xfId="1" applyFont="1" applyFill="1" applyBorder="1" applyAlignment="1">
      <alignment horizontal="center" vertical="center" wrapText="1"/>
    </xf>
    <xf numFmtId="0" fontId="34" fillId="0" borderId="41" xfId="0" applyFont="1" applyBorder="1" applyAlignment="1">
      <alignment horizontal="left"/>
    </xf>
    <xf numFmtId="0" fontId="34" fillId="0" borderId="42" xfId="0" applyFont="1" applyBorder="1" applyAlignment="1">
      <alignment horizontal="left"/>
    </xf>
    <xf numFmtId="4" fontId="34" fillId="0" borderId="41" xfId="0" applyNumberFormat="1" applyFont="1" applyBorder="1" applyAlignment="1">
      <alignment horizontal="center"/>
    </xf>
    <xf numFmtId="4" fontId="34" fillId="0" borderId="42" xfId="0" applyNumberFormat="1" applyFont="1" applyBorder="1" applyAlignment="1">
      <alignment horizontal="center"/>
    </xf>
    <xf numFmtId="169" fontId="34" fillId="0" borderId="1" xfId="0" applyNumberFormat="1" applyFont="1" applyBorder="1" applyAlignment="1">
      <alignment horizontal="center"/>
    </xf>
    <xf numFmtId="0" fontId="34" fillId="0" borderId="11" xfId="0" applyFont="1" applyBorder="1" applyAlignment="1">
      <alignment horizontal="left" vertical="center" wrapText="1"/>
    </xf>
    <xf numFmtId="0" fontId="34" fillId="0" borderId="0" xfId="0" applyFont="1" applyAlignment="1">
      <alignment horizontal="left" vertical="center" wrapText="1"/>
    </xf>
    <xf numFmtId="0" fontId="34" fillId="0" borderId="41" xfId="0" applyFont="1" applyBorder="1" applyAlignment="1">
      <alignment horizontal="center"/>
    </xf>
    <xf numFmtId="0" fontId="34" fillId="0" borderId="42" xfId="0" applyFont="1" applyBorder="1" applyAlignment="1">
      <alignment horizontal="center"/>
    </xf>
    <xf numFmtId="0" fontId="34" fillId="0" borderId="1" xfId="0" applyFont="1" applyBorder="1" applyAlignment="1">
      <alignment horizontal="left" vertical="center" wrapText="1"/>
    </xf>
    <xf numFmtId="0" fontId="34" fillId="0" borderId="0" xfId="0" applyFont="1" applyAlignment="1">
      <alignment horizontal="left"/>
    </xf>
    <xf numFmtId="0" fontId="34" fillId="0" borderId="39" xfId="0" applyFont="1" applyBorder="1" applyAlignment="1">
      <alignment horizontal="left"/>
    </xf>
    <xf numFmtId="0" fontId="34" fillId="0" borderId="40" xfId="0" applyFont="1" applyBorder="1" applyAlignment="1">
      <alignment horizontal="left"/>
    </xf>
    <xf numFmtId="4" fontId="34" fillId="0" borderId="39" xfId="0" applyNumberFormat="1" applyFont="1" applyBorder="1" applyAlignment="1">
      <alignment horizontal="center"/>
    </xf>
    <xf numFmtId="4" fontId="34" fillId="0" borderId="40" xfId="0" applyNumberFormat="1" applyFont="1" applyBorder="1" applyAlignment="1">
      <alignment horizontal="center"/>
    </xf>
    <xf numFmtId="0" fontId="34" fillId="0" borderId="35" xfId="0" applyFont="1" applyBorder="1" applyAlignment="1">
      <alignment horizontal="left" vertical="center" wrapText="1"/>
    </xf>
    <xf numFmtId="0" fontId="100" fillId="0" borderId="33" xfId="0" applyFont="1" applyBorder="1" applyAlignment="1">
      <alignment horizontal="left" vertical="center" wrapText="1"/>
    </xf>
    <xf numFmtId="0" fontId="12" fillId="0" borderId="37" xfId="0" applyFont="1" applyBorder="1" applyAlignment="1">
      <alignment horizontal="left"/>
    </xf>
    <xf numFmtId="0" fontId="101" fillId="0" borderId="0" xfId="0" applyFont="1" applyAlignment="1">
      <alignment horizontal="center"/>
    </xf>
    <xf numFmtId="0" fontId="101" fillId="0" borderId="27" xfId="0" applyFont="1" applyBorder="1" applyAlignment="1">
      <alignment horizontal="center"/>
    </xf>
    <xf numFmtId="4" fontId="34" fillId="0" borderId="27" xfId="0" applyNumberFormat="1" applyFont="1" applyBorder="1" applyAlignment="1">
      <alignment horizontal="center"/>
    </xf>
    <xf numFmtId="4" fontId="34" fillId="0" borderId="0" xfId="0" applyNumberFormat="1" applyFont="1" applyAlignment="1">
      <alignment horizontal="center"/>
    </xf>
    <xf numFmtId="0" fontId="34" fillId="2" borderId="0" xfId="0" applyFont="1" applyFill="1" applyAlignment="1">
      <alignment horizontal="center"/>
    </xf>
    <xf numFmtId="0" fontId="102" fillId="0" borderId="1" xfId="0" applyFont="1" applyBorder="1" applyAlignment="1">
      <alignment horizontal="center"/>
    </xf>
    <xf numFmtId="2" fontId="34" fillId="0" borderId="11" xfId="0" applyNumberFormat="1" applyFont="1" applyBorder="1" applyAlignment="1">
      <alignment horizontal="left" vertical="center" wrapText="1"/>
    </xf>
    <xf numFmtId="2" fontId="34" fillId="0" borderId="0" xfId="0" applyNumberFormat="1" applyFont="1" applyAlignment="1">
      <alignment horizontal="left" vertical="center" wrapText="1"/>
    </xf>
    <xf numFmtId="0" fontId="34" fillId="0" borderId="43" xfId="0" applyFont="1" applyBorder="1" applyAlignment="1">
      <alignment horizontal="left"/>
    </xf>
    <xf numFmtId="0" fontId="34" fillId="0" borderId="44" xfId="0" applyFont="1" applyBorder="1" applyAlignment="1">
      <alignment horizontal="left"/>
    </xf>
    <xf numFmtId="4" fontId="34" fillId="0" borderId="43" xfId="0" applyNumberFormat="1" applyFont="1" applyBorder="1" applyAlignment="1">
      <alignment horizontal="center"/>
    </xf>
    <xf numFmtId="4" fontId="34" fillId="0" borderId="44" xfId="0" applyNumberFormat="1" applyFont="1" applyBorder="1" applyAlignment="1">
      <alignment horizontal="center"/>
    </xf>
    <xf numFmtId="0" fontId="12" fillId="0" borderId="27" xfId="0" applyFont="1" applyBorder="1" applyAlignment="1">
      <alignment horizontal="left" vertical="center"/>
    </xf>
    <xf numFmtId="0" fontId="12" fillId="0" borderId="36" xfId="0" applyFont="1" applyBorder="1" applyAlignment="1">
      <alignment horizontal="left" vertical="center"/>
    </xf>
    <xf numFmtId="0" fontId="12" fillId="0" borderId="0" xfId="0" applyFont="1" applyAlignment="1">
      <alignment vertical="center"/>
    </xf>
    <xf numFmtId="0" fontId="12" fillId="0" borderId="35"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0" xfId="0" applyFont="1" applyAlignment="1">
      <alignment horizontal="center" vertical="center"/>
    </xf>
    <xf numFmtId="0" fontId="12" fillId="0" borderId="33" xfId="0" applyFont="1" applyBorder="1" applyAlignment="1">
      <alignment vertical="center"/>
    </xf>
    <xf numFmtId="0" fontId="99" fillId="13" borderId="2" xfId="0" applyFont="1" applyFill="1" applyBorder="1" applyAlignment="1">
      <alignment horizontal="center"/>
    </xf>
    <xf numFmtId="0" fontId="34" fillId="0" borderId="1" xfId="0" applyFont="1" applyBorder="1" applyAlignment="1">
      <alignment horizontal="center"/>
    </xf>
    <xf numFmtId="0" fontId="12" fillId="0" borderId="32" xfId="0" applyFont="1" applyBorder="1"/>
    <xf numFmtId="0" fontId="12" fillId="0" borderId="32" xfId="0" applyFont="1" applyBorder="1" applyAlignment="1">
      <alignment vertical="center"/>
    </xf>
    <xf numFmtId="0" fontId="12" fillId="0" borderId="27" xfId="0" applyFont="1" applyBorder="1"/>
    <xf numFmtId="0" fontId="12" fillId="0" borderId="22" xfId="0" applyFont="1" applyBorder="1"/>
    <xf numFmtId="170" fontId="34" fillId="0" borderId="1" xfId="0" applyNumberFormat="1" applyFont="1" applyBorder="1" applyAlignment="1">
      <alignment horizontal="center" vertical="center" wrapText="1"/>
    </xf>
    <xf numFmtId="0" fontId="99" fillId="14" borderId="2" xfId="0" applyFont="1" applyFill="1" applyBorder="1" applyAlignment="1">
      <alignment horizontal="center"/>
    </xf>
    <xf numFmtId="0" fontId="99" fillId="0" borderId="24" xfId="0" applyFont="1" applyBorder="1" applyAlignment="1">
      <alignment horizontal="left"/>
    </xf>
    <xf numFmtId="0" fontId="99" fillId="0" borderId="0" xfId="0" applyFont="1" applyAlignment="1">
      <alignment horizontal="center"/>
    </xf>
    <xf numFmtId="0" fontId="12" fillId="0" borderId="27" xfId="0" applyFont="1" applyBorder="1" applyAlignment="1">
      <alignment horizontal="left"/>
    </xf>
    <xf numFmtId="14" fontId="99" fillId="0" borderId="0" xfId="0" applyNumberFormat="1" applyFont="1" applyAlignment="1">
      <alignment horizontal="center"/>
    </xf>
    <xf numFmtId="3" fontId="12" fillId="0" borderId="0" xfId="0" applyNumberFormat="1" applyFont="1" applyAlignment="1">
      <alignment horizontal="left"/>
    </xf>
    <xf numFmtId="0" fontId="12" fillId="0" borderId="0" xfId="0" applyFont="1" applyAlignment="1">
      <alignment horizontal="center"/>
    </xf>
    <xf numFmtId="0" fontId="34" fillId="0" borderId="1" xfId="0" applyFont="1" applyBorder="1" applyAlignment="1">
      <alignment horizontal="left"/>
    </xf>
    <xf numFmtId="0" fontId="34" fillId="0" borderId="10" xfId="0" applyFont="1" applyBorder="1" applyAlignment="1">
      <alignment horizontal="left"/>
    </xf>
    <xf numFmtId="0" fontId="12" fillId="0" borderId="28" xfId="0" applyFont="1" applyBorder="1" applyAlignment="1">
      <alignment horizontal="left"/>
    </xf>
    <xf numFmtId="0" fontId="12" fillId="0" borderId="29" xfId="0" applyFont="1" applyBorder="1" applyAlignment="1">
      <alignment horizontal="left"/>
    </xf>
    <xf numFmtId="0" fontId="90" fillId="0" borderId="0" xfId="0" applyFont="1" applyAlignment="1">
      <alignment horizontal="center"/>
    </xf>
    <xf numFmtId="0" fontId="85" fillId="11" borderId="11" xfId="0" applyFont="1" applyFill="1" applyBorder="1" applyAlignment="1">
      <alignment horizontal="center" vertical="center" wrapText="1"/>
    </xf>
    <xf numFmtId="0" fontId="85" fillId="11" borderId="0" xfId="0" applyFont="1" applyFill="1" applyAlignment="1">
      <alignment horizontal="center" vertical="center" wrapText="1"/>
    </xf>
    <xf numFmtId="0" fontId="85" fillId="10" borderId="11" xfId="0" applyFont="1" applyFill="1" applyBorder="1" applyAlignment="1">
      <alignment horizontal="center" vertical="center" wrapText="1"/>
    </xf>
    <xf numFmtId="0" fontId="85" fillId="10" borderId="0" xfId="0" applyFont="1" applyFill="1" applyAlignment="1">
      <alignment horizontal="center" vertical="center" wrapText="1"/>
    </xf>
    <xf numFmtId="0" fontId="98" fillId="11" borderId="0" xfId="0" applyFont="1" applyFill="1" applyAlignment="1">
      <alignment horizontal="center"/>
    </xf>
    <xf numFmtId="0" fontId="98" fillId="11" borderId="0" xfId="0" applyFont="1" applyFill="1" applyAlignment="1">
      <alignment horizontal="center" vertical="center" wrapText="1"/>
    </xf>
    <xf numFmtId="0" fontId="0" fillId="2" borderId="0" xfId="0" applyFill="1" applyAlignment="1">
      <alignment horizontal="center" vertical="center" wrapText="1"/>
    </xf>
    <xf numFmtId="0" fontId="98" fillId="0" borderId="0" xfId="0" applyFont="1" applyAlignment="1">
      <alignment horizontal="center"/>
    </xf>
    <xf numFmtId="0" fontId="98" fillId="0" borderId="0" xfId="0" applyFont="1" applyAlignment="1">
      <alignment horizontal="center" vertical="center" wrapText="1"/>
    </xf>
    <xf numFmtId="4" fontId="34" fillId="0" borderId="0" xfId="0" applyNumberFormat="1" applyFont="1" applyAlignment="1">
      <alignment horizontal="center" vertical="center" wrapText="1"/>
    </xf>
    <xf numFmtId="0" fontId="103" fillId="11" borderId="9" xfId="0" applyFont="1" applyFill="1" applyBorder="1" applyAlignment="1">
      <alignment horizontal="center" vertical="center" wrapText="1"/>
    </xf>
    <xf numFmtId="0" fontId="103" fillId="11" borderId="1" xfId="0" applyFont="1" applyFill="1" applyBorder="1" applyAlignment="1">
      <alignment horizontal="center" vertical="center" wrapText="1"/>
    </xf>
    <xf numFmtId="0" fontId="98" fillId="10" borderId="1" xfId="0" applyFont="1" applyFill="1" applyBorder="1" applyAlignment="1">
      <alignment horizontal="center" vertical="center" wrapText="1"/>
    </xf>
    <xf numFmtId="0" fontId="98" fillId="12" borderId="10" xfId="0" applyFont="1" applyFill="1" applyBorder="1" applyAlignment="1">
      <alignment horizontal="center" vertical="center" wrapText="1"/>
    </xf>
    <xf numFmtId="0" fontId="98" fillId="12" borderId="9" xfId="0" applyFont="1" applyFill="1" applyBorder="1" applyAlignment="1">
      <alignment horizontal="center" vertical="center" wrapText="1"/>
    </xf>
    <xf numFmtId="0" fontId="85" fillId="17" borderId="0" xfId="0" applyFont="1" applyFill="1" applyAlignment="1">
      <alignment horizontal="center" vertical="center" wrapText="1"/>
    </xf>
    <xf numFmtId="43" fontId="0" fillId="2" borderId="0" xfId="0" applyNumberFormat="1" applyFill="1" applyAlignment="1">
      <alignment horizontal="center" vertical="center" wrapText="1"/>
    </xf>
    <xf numFmtId="43" fontId="0" fillId="0" borderId="0" xfId="0" applyNumberFormat="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9" fillId="2" borderId="1" xfId="0" applyFont="1" applyFill="1" applyBorder="1" applyAlignment="1">
      <alignment horizontal="center" vertical="center" wrapText="1"/>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9" fillId="8"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93" fillId="2" borderId="2" xfId="0" applyFont="1" applyFill="1" applyBorder="1" applyAlignment="1">
      <alignment horizontal="center" vertical="center" wrapText="1"/>
    </xf>
    <xf numFmtId="0" fontId="93" fillId="2" borderId="14" xfId="0" applyFont="1" applyFill="1" applyBorder="1" applyAlignment="1">
      <alignment horizontal="center" vertical="center" wrapText="1"/>
    </xf>
    <xf numFmtId="0" fontId="93" fillId="2" borderId="11" xfId="0" applyFont="1" applyFill="1" applyBorder="1" applyAlignment="1">
      <alignment horizontal="center" vertical="center" wrapText="1"/>
    </xf>
    <xf numFmtId="0" fontId="93" fillId="2" borderId="13"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8" fillId="2" borderId="10" xfId="0" applyFont="1" applyFill="1" applyBorder="1" applyAlignment="1">
      <alignment horizontal="center"/>
    </xf>
    <xf numFmtId="0" fontId="58" fillId="2" borderId="9" xfId="0" applyFont="1" applyFill="1" applyBorder="1" applyAlignment="1">
      <alignment horizontal="center"/>
    </xf>
    <xf numFmtId="0" fontId="3" fillId="0" borderId="10" xfId="0" applyFont="1" applyBorder="1" applyAlignment="1">
      <alignment vertical="center" wrapText="1"/>
    </xf>
    <xf numFmtId="0" fontId="3" fillId="0" borderId="9" xfId="0" applyFont="1" applyBorder="1" applyAlignment="1">
      <alignment vertical="center" wrapText="1"/>
    </xf>
    <xf numFmtId="0" fontId="19" fillId="0" borderId="1" xfId="0" applyFont="1" applyBorder="1" applyAlignment="1">
      <alignment horizontal="center"/>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6" fillId="0" borderId="1" xfId="0" applyFont="1" applyBorder="1" applyAlignment="1">
      <alignment vertical="center" wrapText="1"/>
    </xf>
    <xf numFmtId="0" fontId="17" fillId="0" borderId="10" xfId="0" applyFont="1" applyBorder="1" applyAlignment="1">
      <alignment vertical="center" wrapText="1"/>
    </xf>
    <xf numFmtId="0" fontId="17"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4" fillId="0" borderId="0" xfId="0" applyFont="1" applyAlignment="1">
      <alignment horizont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3" fillId="0" borderId="10" xfId="0" applyFont="1" applyBorder="1" applyAlignment="1">
      <alignment vertical="center"/>
    </xf>
    <xf numFmtId="0" fontId="3" fillId="0" borderId="9" xfId="0" applyFont="1" applyBorder="1" applyAlignment="1">
      <alignmen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124" fillId="17" borderId="10" xfId="0" applyFont="1" applyFill="1" applyBorder="1" applyAlignment="1">
      <alignment vertical="center" wrapText="1"/>
    </xf>
    <xf numFmtId="0" fontId="124" fillId="17" borderId="9" xfId="0" applyFont="1" applyFill="1" applyBorder="1" applyAlignment="1">
      <alignment vertical="center" wrapText="1"/>
    </xf>
    <xf numFmtId="0" fontId="52" fillId="0" borderId="0" xfId="0" applyFont="1" applyAlignment="1">
      <alignment horizontal="center" vertical="center" wrapText="1"/>
    </xf>
    <xf numFmtId="0" fontId="40" fillId="0" borderId="7" xfId="0" applyFont="1" applyBorder="1" applyAlignment="1">
      <alignment horizontal="center" vertical="center"/>
    </xf>
    <xf numFmtId="0" fontId="103" fillId="10" borderId="7" xfId="0" applyFont="1" applyFill="1" applyBorder="1" applyAlignment="1">
      <alignment horizontal="center" vertical="center"/>
    </xf>
    <xf numFmtId="0" fontId="98" fillId="17" borderId="0" xfId="0" applyFont="1" applyFill="1" applyAlignment="1">
      <alignment horizontal="center" vertical="center" wrapText="1"/>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tyles" Target="styles.xml"/></Relationships>
</file>

<file path=xl/drawings/_rels/drawing10.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9</xdr:col>
      <xdr:colOff>743798</xdr:colOff>
      <xdr:row>14</xdr:row>
      <xdr:rowOff>47898</xdr:rowOff>
    </xdr:to>
    <xdr:pic>
      <xdr:nvPicPr>
        <xdr:cNvPr id="2" name="Image 1">
          <a:extLst>
            <a:ext uri="{FF2B5EF4-FFF2-40B4-BE49-F238E27FC236}">
              <a16:creationId xmlns:a16="http://schemas.microsoft.com/office/drawing/2014/main" id="{14D5EF04-4354-816A-A44E-2A5258901E50}"/>
            </a:ext>
          </a:extLst>
        </xdr:cNvPr>
        <xdr:cNvPicPr>
          <a:picLocks noChangeAspect="1"/>
        </xdr:cNvPicPr>
      </xdr:nvPicPr>
      <xdr:blipFill>
        <a:blip xmlns:r="http://schemas.openxmlformats.org/officeDocument/2006/relationships" r:embed="rId1"/>
        <a:stretch>
          <a:fillRect/>
        </a:stretch>
      </xdr:blipFill>
      <xdr:spPr>
        <a:xfrm>
          <a:off x="1524000" y="190500"/>
          <a:ext cx="6077798" cy="1952898"/>
        </a:xfrm>
        <a:prstGeom prst="rect">
          <a:avLst/>
        </a:prstGeom>
      </xdr:spPr>
    </xdr:pic>
    <xdr:clientData/>
  </xdr:twoCellAnchor>
  <xdr:twoCellAnchor editAs="oneCell">
    <xdr:from>
      <xdr:col>2</xdr:col>
      <xdr:colOff>0</xdr:colOff>
      <xdr:row>15</xdr:row>
      <xdr:rowOff>0</xdr:rowOff>
    </xdr:from>
    <xdr:to>
      <xdr:col>10</xdr:col>
      <xdr:colOff>134219</xdr:colOff>
      <xdr:row>22</xdr:row>
      <xdr:rowOff>152607</xdr:rowOff>
    </xdr:to>
    <xdr:pic>
      <xdr:nvPicPr>
        <xdr:cNvPr id="3" name="Image 2">
          <a:extLst>
            <a:ext uri="{FF2B5EF4-FFF2-40B4-BE49-F238E27FC236}">
              <a16:creationId xmlns:a16="http://schemas.microsoft.com/office/drawing/2014/main" id="{17771E4B-60B3-9BAA-55B9-24E20CE59655}"/>
            </a:ext>
          </a:extLst>
        </xdr:cNvPr>
        <xdr:cNvPicPr>
          <a:picLocks noChangeAspect="1"/>
        </xdr:cNvPicPr>
      </xdr:nvPicPr>
      <xdr:blipFill>
        <a:blip xmlns:r="http://schemas.openxmlformats.org/officeDocument/2006/relationships" r:embed="rId2"/>
        <a:stretch>
          <a:fillRect/>
        </a:stretch>
      </xdr:blipFill>
      <xdr:spPr>
        <a:xfrm>
          <a:off x="1762125" y="2286000"/>
          <a:ext cx="6230219" cy="1486107"/>
        </a:xfrm>
        <a:prstGeom prst="rect">
          <a:avLst/>
        </a:prstGeom>
      </xdr:spPr>
    </xdr:pic>
    <xdr:clientData/>
  </xdr:twoCellAnchor>
  <xdr:twoCellAnchor editAs="oneCell">
    <xdr:from>
      <xdr:col>2</xdr:col>
      <xdr:colOff>0</xdr:colOff>
      <xdr:row>24</xdr:row>
      <xdr:rowOff>0</xdr:rowOff>
    </xdr:from>
    <xdr:to>
      <xdr:col>10</xdr:col>
      <xdr:colOff>686747</xdr:colOff>
      <xdr:row>34</xdr:row>
      <xdr:rowOff>133635</xdr:rowOff>
    </xdr:to>
    <xdr:pic>
      <xdr:nvPicPr>
        <xdr:cNvPr id="4" name="Image 3">
          <a:extLst>
            <a:ext uri="{FF2B5EF4-FFF2-40B4-BE49-F238E27FC236}">
              <a16:creationId xmlns:a16="http://schemas.microsoft.com/office/drawing/2014/main" id="{E36324FA-DEFD-FCFF-C4A7-55F5548FA645}"/>
            </a:ext>
          </a:extLst>
        </xdr:cNvPr>
        <xdr:cNvPicPr>
          <a:picLocks noChangeAspect="1"/>
        </xdr:cNvPicPr>
      </xdr:nvPicPr>
      <xdr:blipFill>
        <a:blip xmlns:r="http://schemas.openxmlformats.org/officeDocument/2006/relationships" r:embed="rId3"/>
        <a:stretch>
          <a:fillRect/>
        </a:stretch>
      </xdr:blipFill>
      <xdr:spPr>
        <a:xfrm>
          <a:off x="1762125" y="4000500"/>
          <a:ext cx="6782747" cy="203863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542925</xdr:colOff>
          <xdr:row>19</xdr:row>
          <xdr:rowOff>19050</xdr:rowOff>
        </xdr:from>
        <xdr:to>
          <xdr:col>9</xdr:col>
          <xdr:colOff>171450</xdr:colOff>
          <xdr:row>36</xdr:row>
          <xdr:rowOff>76200</xdr:rowOff>
        </xdr:to>
        <xdr:sp macro="" textlink="">
          <xdr:nvSpPr>
            <xdr:cNvPr id="137218" name="Object 2" hidden="1">
              <a:extLst>
                <a:ext uri="{63B3BB69-23CF-44E3-9099-C40C66FF867C}">
                  <a14:compatExt spid="_x0000_s137218"/>
                </a:ext>
                <a:ext uri="{FF2B5EF4-FFF2-40B4-BE49-F238E27FC236}">
                  <a16:creationId xmlns:a16="http://schemas.microsoft.com/office/drawing/2014/main" id="{00000000-0008-0000-0E00-0000021802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editAs="oneCell">
    <xdr:from>
      <xdr:col>11</xdr:col>
      <xdr:colOff>0</xdr:colOff>
      <xdr:row>1</xdr:row>
      <xdr:rowOff>0</xdr:rowOff>
    </xdr:from>
    <xdr:to>
      <xdr:col>21</xdr:col>
      <xdr:colOff>610749</xdr:colOff>
      <xdr:row>14</xdr:row>
      <xdr:rowOff>95609</xdr:rowOff>
    </xdr:to>
    <xdr:pic>
      <xdr:nvPicPr>
        <xdr:cNvPr id="2" name="Image 1">
          <a:extLst>
            <a:ext uri="{FF2B5EF4-FFF2-40B4-BE49-F238E27FC236}">
              <a16:creationId xmlns:a16="http://schemas.microsoft.com/office/drawing/2014/main" id="{BE38407F-6431-E79B-4F99-24797308E976}"/>
            </a:ext>
          </a:extLst>
        </xdr:cNvPr>
        <xdr:cNvPicPr>
          <a:picLocks noChangeAspect="1"/>
        </xdr:cNvPicPr>
      </xdr:nvPicPr>
      <xdr:blipFill>
        <a:blip xmlns:r="http://schemas.openxmlformats.org/officeDocument/2006/relationships" r:embed="rId1"/>
        <a:stretch>
          <a:fillRect/>
        </a:stretch>
      </xdr:blipFill>
      <xdr:spPr>
        <a:xfrm>
          <a:off x="8382000" y="190500"/>
          <a:ext cx="8230749" cy="257210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33867</xdr:colOff>
      <xdr:row>39</xdr:row>
      <xdr:rowOff>66675</xdr:rowOff>
    </xdr:from>
    <xdr:to>
      <xdr:col>15</xdr:col>
      <xdr:colOff>695325</xdr:colOff>
      <xdr:row>44</xdr:row>
      <xdr:rowOff>127000</xdr:rowOff>
    </xdr:to>
    <xdr:cxnSp macro="">
      <xdr:nvCxnSpPr>
        <xdr:cNvPr id="2" name="Connecteur droit avec flèche 1">
          <a:extLst>
            <a:ext uri="{FF2B5EF4-FFF2-40B4-BE49-F238E27FC236}">
              <a16:creationId xmlns:a16="http://schemas.microsoft.com/office/drawing/2014/main" id="{AD759F47-C262-4EEF-83BD-716A4A93E6CC}"/>
            </a:ext>
          </a:extLst>
        </xdr:cNvPr>
        <xdr:cNvCxnSpPr/>
      </xdr:nvCxnSpPr>
      <xdr:spPr>
        <a:xfrm flipH="1">
          <a:off x="7339542" y="10820400"/>
          <a:ext cx="5300133" cy="1098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9</xdr:col>
          <xdr:colOff>676275</xdr:colOff>
          <xdr:row>40</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2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250</xdr:row>
      <xdr:rowOff>180975</xdr:rowOff>
    </xdr:from>
    <xdr:to>
      <xdr:col>6</xdr:col>
      <xdr:colOff>1104900</xdr:colOff>
      <xdr:row>257</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14</xdr:col>
      <xdr:colOff>440617</xdr:colOff>
      <xdr:row>21</xdr:row>
      <xdr:rowOff>123352</xdr:rowOff>
    </xdr:to>
    <xdr:pic>
      <xdr:nvPicPr>
        <xdr:cNvPr id="2" name="Image 1">
          <a:extLst>
            <a:ext uri="{FF2B5EF4-FFF2-40B4-BE49-F238E27FC236}">
              <a16:creationId xmlns:a16="http://schemas.microsoft.com/office/drawing/2014/main" id="{4DF63961-DDE7-418B-A752-26687A020266}"/>
            </a:ext>
          </a:extLst>
        </xdr:cNvPr>
        <xdr:cNvPicPr>
          <a:picLocks noChangeAspect="1"/>
        </xdr:cNvPicPr>
      </xdr:nvPicPr>
      <xdr:blipFill>
        <a:blip xmlns:r="http://schemas.openxmlformats.org/officeDocument/2006/relationships" r:embed="rId1"/>
        <a:stretch>
          <a:fillRect/>
        </a:stretch>
      </xdr:blipFill>
      <xdr:spPr>
        <a:xfrm>
          <a:off x="792480" y="182880"/>
          <a:ext cx="10742857" cy="3780952"/>
        </a:xfrm>
        <a:prstGeom prst="rect">
          <a:avLst/>
        </a:prstGeom>
      </xdr:spPr>
    </xdr:pic>
    <xdr:clientData/>
  </xdr:twoCellAnchor>
  <xdr:twoCellAnchor editAs="oneCell">
    <xdr:from>
      <xdr:col>1</xdr:col>
      <xdr:colOff>0</xdr:colOff>
      <xdr:row>23</xdr:row>
      <xdr:rowOff>0</xdr:rowOff>
    </xdr:from>
    <xdr:to>
      <xdr:col>13</xdr:col>
      <xdr:colOff>299764</xdr:colOff>
      <xdr:row>32</xdr:row>
      <xdr:rowOff>163604</xdr:rowOff>
    </xdr:to>
    <xdr:pic>
      <xdr:nvPicPr>
        <xdr:cNvPr id="3" name="Image 2">
          <a:extLst>
            <a:ext uri="{FF2B5EF4-FFF2-40B4-BE49-F238E27FC236}">
              <a16:creationId xmlns:a16="http://schemas.microsoft.com/office/drawing/2014/main" id="{14B98E0E-229E-45C4-BBA9-D82AC359618F}"/>
            </a:ext>
          </a:extLst>
        </xdr:cNvPr>
        <xdr:cNvPicPr>
          <a:picLocks noChangeAspect="1"/>
        </xdr:cNvPicPr>
      </xdr:nvPicPr>
      <xdr:blipFill>
        <a:blip xmlns:r="http://schemas.openxmlformats.org/officeDocument/2006/relationships" r:embed="rId2"/>
        <a:stretch>
          <a:fillRect/>
        </a:stretch>
      </xdr:blipFill>
      <xdr:spPr>
        <a:xfrm>
          <a:off x="792480" y="4206240"/>
          <a:ext cx="9809524" cy="1809524"/>
        </a:xfrm>
        <a:prstGeom prst="rect">
          <a:avLst/>
        </a:prstGeom>
      </xdr:spPr>
    </xdr:pic>
    <xdr:clientData/>
  </xdr:twoCellAnchor>
  <xdr:twoCellAnchor editAs="oneCell">
    <xdr:from>
      <xdr:col>1</xdr:col>
      <xdr:colOff>0</xdr:colOff>
      <xdr:row>34</xdr:row>
      <xdr:rowOff>0</xdr:rowOff>
    </xdr:from>
    <xdr:to>
      <xdr:col>13</xdr:col>
      <xdr:colOff>680716</xdr:colOff>
      <xdr:row>43</xdr:row>
      <xdr:rowOff>115985</xdr:rowOff>
    </xdr:to>
    <xdr:pic>
      <xdr:nvPicPr>
        <xdr:cNvPr id="4" name="Image 3">
          <a:extLst>
            <a:ext uri="{FF2B5EF4-FFF2-40B4-BE49-F238E27FC236}">
              <a16:creationId xmlns:a16="http://schemas.microsoft.com/office/drawing/2014/main" id="{0E9697A8-CF26-4AB7-9317-842A342395F3}"/>
            </a:ext>
          </a:extLst>
        </xdr:cNvPr>
        <xdr:cNvPicPr>
          <a:picLocks noChangeAspect="1"/>
        </xdr:cNvPicPr>
      </xdr:nvPicPr>
      <xdr:blipFill>
        <a:blip xmlns:r="http://schemas.openxmlformats.org/officeDocument/2006/relationships" r:embed="rId3"/>
        <a:stretch>
          <a:fillRect/>
        </a:stretch>
      </xdr:blipFill>
      <xdr:spPr>
        <a:xfrm>
          <a:off x="792480" y="6217920"/>
          <a:ext cx="10190476" cy="17619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24765</xdr:colOff>
      <xdr:row>36</xdr:row>
      <xdr:rowOff>101283</xdr:rowOff>
    </xdr:to>
    <xdr:pic>
      <xdr:nvPicPr>
        <xdr:cNvPr id="2" name="Image 1">
          <a:extLst>
            <a:ext uri="{FF2B5EF4-FFF2-40B4-BE49-F238E27FC236}">
              <a16:creationId xmlns:a16="http://schemas.microsoft.com/office/drawing/2014/main" id="{F7CB34BF-1A86-4595-AC55-2071F790793D}"/>
            </a:ext>
          </a:extLst>
        </xdr:cNvPr>
        <xdr:cNvPicPr>
          <a:picLocks noChangeAspect="1"/>
        </xdr:cNvPicPr>
      </xdr:nvPicPr>
      <xdr:blipFill>
        <a:blip xmlns:r="http://schemas.openxmlformats.org/officeDocument/2006/relationships" r:embed="rId1"/>
        <a:stretch>
          <a:fillRect/>
        </a:stretch>
      </xdr:blipFill>
      <xdr:spPr>
        <a:xfrm>
          <a:off x="792480" y="182880"/>
          <a:ext cx="9534525" cy="65020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15</xdr:row>
      <xdr:rowOff>29000</xdr:rowOff>
    </xdr:to>
    <xdr:pic>
      <xdr:nvPicPr>
        <xdr:cNvPr id="2" name="Image 1">
          <a:extLst>
            <a:ext uri="{FF2B5EF4-FFF2-40B4-BE49-F238E27FC236}">
              <a16:creationId xmlns:a16="http://schemas.microsoft.com/office/drawing/2014/main" id="{DEC72BA5-D437-473E-8CD6-6796A29ABA6E}"/>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twoCellAnchor editAs="oneCell">
    <xdr:from>
      <xdr:col>1</xdr:col>
      <xdr:colOff>0</xdr:colOff>
      <xdr:row>1</xdr:row>
      <xdr:rowOff>0</xdr:rowOff>
    </xdr:from>
    <xdr:to>
      <xdr:col>9</xdr:col>
      <xdr:colOff>296323</xdr:colOff>
      <xdr:row>15</xdr:row>
      <xdr:rowOff>29000</xdr:rowOff>
    </xdr:to>
    <xdr:pic>
      <xdr:nvPicPr>
        <xdr:cNvPr id="3" name="Image 2">
          <a:extLst>
            <a:ext uri="{FF2B5EF4-FFF2-40B4-BE49-F238E27FC236}">
              <a16:creationId xmlns:a16="http://schemas.microsoft.com/office/drawing/2014/main" id="{8533CB79-8942-43C6-837A-108CC646D96E}"/>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15</xdr:row>
      <xdr:rowOff>143300</xdr:rowOff>
    </xdr:to>
    <xdr:pic>
      <xdr:nvPicPr>
        <xdr:cNvPr id="2" name="Image 1">
          <a:extLst>
            <a:ext uri="{FF2B5EF4-FFF2-40B4-BE49-F238E27FC236}">
              <a16:creationId xmlns:a16="http://schemas.microsoft.com/office/drawing/2014/main" id="{FC8C6254-BDD8-4BF1-A1CE-4BA2837CB02D}"/>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twoCellAnchor editAs="oneCell">
    <xdr:from>
      <xdr:col>1</xdr:col>
      <xdr:colOff>0</xdr:colOff>
      <xdr:row>1</xdr:row>
      <xdr:rowOff>0</xdr:rowOff>
    </xdr:from>
    <xdr:to>
      <xdr:col>9</xdr:col>
      <xdr:colOff>296323</xdr:colOff>
      <xdr:row>15</xdr:row>
      <xdr:rowOff>143300</xdr:rowOff>
    </xdr:to>
    <xdr:pic>
      <xdr:nvPicPr>
        <xdr:cNvPr id="3" name="Image 2">
          <a:extLst>
            <a:ext uri="{FF2B5EF4-FFF2-40B4-BE49-F238E27FC236}">
              <a16:creationId xmlns:a16="http://schemas.microsoft.com/office/drawing/2014/main" id="{BCA4B111-CA1D-4017-92CC-2D886F660423}"/>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twoCellAnchor editAs="oneCell">
    <xdr:from>
      <xdr:col>1</xdr:col>
      <xdr:colOff>0</xdr:colOff>
      <xdr:row>1</xdr:row>
      <xdr:rowOff>0</xdr:rowOff>
    </xdr:from>
    <xdr:to>
      <xdr:col>9</xdr:col>
      <xdr:colOff>296323</xdr:colOff>
      <xdr:row>15</xdr:row>
      <xdr:rowOff>29000</xdr:rowOff>
    </xdr:to>
    <xdr:pic>
      <xdr:nvPicPr>
        <xdr:cNvPr id="4" name="Image 3">
          <a:extLst>
            <a:ext uri="{FF2B5EF4-FFF2-40B4-BE49-F238E27FC236}">
              <a16:creationId xmlns:a16="http://schemas.microsoft.com/office/drawing/2014/main" id="{CFDFAFFF-EDFA-495E-AD70-23794794A93B}"/>
            </a:ext>
          </a:extLst>
        </xdr:cNvPr>
        <xdr:cNvPicPr>
          <a:picLocks noChangeAspect="1"/>
        </xdr:cNvPicPr>
      </xdr:nvPicPr>
      <xdr:blipFill>
        <a:blip xmlns:r="http://schemas.openxmlformats.org/officeDocument/2006/relationships" r:embed="rId1"/>
        <a:stretch>
          <a:fillRect/>
        </a:stretch>
      </xdr:blipFill>
      <xdr:spPr>
        <a:xfrm>
          <a:off x="762000" y="190500"/>
          <a:ext cx="7506748" cy="2696000"/>
        </a:xfrm>
        <a:prstGeom prst="rect">
          <a:avLst/>
        </a:prstGeom>
      </xdr:spPr>
    </xdr:pic>
    <xdr:clientData/>
  </xdr:twoCellAnchor>
  <xdr:twoCellAnchor editAs="oneCell">
    <xdr:from>
      <xdr:col>1</xdr:col>
      <xdr:colOff>0</xdr:colOff>
      <xdr:row>1</xdr:row>
      <xdr:rowOff>0</xdr:rowOff>
    </xdr:from>
    <xdr:to>
      <xdr:col>9</xdr:col>
      <xdr:colOff>296323</xdr:colOff>
      <xdr:row>15</xdr:row>
      <xdr:rowOff>29000</xdr:rowOff>
    </xdr:to>
    <xdr:pic>
      <xdr:nvPicPr>
        <xdr:cNvPr id="5" name="Image 4">
          <a:extLst>
            <a:ext uri="{FF2B5EF4-FFF2-40B4-BE49-F238E27FC236}">
              <a16:creationId xmlns:a16="http://schemas.microsoft.com/office/drawing/2014/main" id="{BDFEF726-B2D9-41C1-BCB7-36F6C1684879}"/>
            </a:ext>
          </a:extLst>
        </xdr:cNvPr>
        <xdr:cNvPicPr>
          <a:picLocks noChangeAspect="1"/>
        </xdr:cNvPicPr>
      </xdr:nvPicPr>
      <xdr:blipFill>
        <a:blip xmlns:r="http://schemas.openxmlformats.org/officeDocument/2006/relationships" r:embed="rId1"/>
        <a:stretch>
          <a:fillRect/>
        </a:stretch>
      </xdr:blipFill>
      <xdr:spPr>
        <a:xfrm>
          <a:off x="762000" y="190500"/>
          <a:ext cx="7506748" cy="269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1973580</xdr:colOff>
      <xdr:row>63</xdr:row>
      <xdr:rowOff>190500</xdr:rowOff>
    </xdr:from>
    <xdr:to>
      <xdr:col>3</xdr:col>
      <xdr:colOff>1066800</xdr:colOff>
      <xdr:row>64</xdr:row>
      <xdr:rowOff>167640</xdr:rowOff>
    </xdr:to>
    <xdr:cxnSp macro="">
      <xdr:nvCxnSpPr>
        <xdr:cNvPr id="3" name="Connecteur droit avec flèche 2">
          <a:extLst>
            <a:ext uri="{FF2B5EF4-FFF2-40B4-BE49-F238E27FC236}">
              <a16:creationId xmlns:a16="http://schemas.microsoft.com/office/drawing/2014/main" id="{010548C0-9FBA-E0C8-563A-C356AFE544B9}"/>
            </a:ext>
          </a:extLst>
        </xdr:cNvPr>
        <xdr:cNvCxnSpPr/>
      </xdr:nvCxnSpPr>
      <xdr:spPr>
        <a:xfrm flipV="1">
          <a:off x="6035040" y="190500"/>
          <a:ext cx="1074420" cy="17526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0%20-11/2025/CADRES/CHAPITRE%2010%20%20%20ENONCE%20%20CADRE%205000%20euros%202025.xlsm" TargetMode="External"/><Relationship Id="rId1" Type="http://schemas.openxmlformats.org/officeDocument/2006/relationships/externalLinkPath" Target="https://d.docs.live.net/fa77d33fea66a78b/Desktop/1%20PAIE%202025/CHAPITRES%2010%20-11/2025/CADRES/CHAPITRE%2010%20%20%20ENONCE%20%20CADRE%205000%20euros%20202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Bienvenue/Desktop/PAIE%202020/FICHIERS%20DEFINITIFS%20PRETS%20A%20IMPRIMER/TR/EXERCICE%205/1.%202020.%20EXERCICE%2053%20TR%2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Bienvenue\AppData\Local\Temp\2898f585-89cd-4eab-818d-565b76668016_MAQUETTE-SUR-1-MOIS-COMPTABILISATION-AUTOMATISEE-JUILLET-2024.zip.016\MAQUETTE%20SUR%201%20MOIS%20COMPTABILISATION%20AUTOMATISEE%20%20JUILLET%202024.xlsm" TargetMode="External"/><Relationship Id="rId1" Type="http://schemas.openxmlformats.org/officeDocument/2006/relationships/externalLinkPath" Target="/Users/Bienvenue/AppData/Local/Temp/2898f585-89cd-4eab-818d-565b76668016_MAQUETTE-SUR-1-MOIS-COMPTABILISATION-AUTOMATISEE-JUILLET-2024.zip.016/MAQUETTE%20SUR%201%20MOIS%20COMPTABILISATION%20AUTOMATISEE%20%20JUILLET%202024.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d.docs.live.net/fa77d33fea66a78b/Desktop/1%20PAIE%202025/1%20MAQUETTES/MAQUETTE%20SUR%201%20MOIS%20ISOLE%202025.xlsx" TargetMode="External"/><Relationship Id="rId1" Type="http://schemas.openxmlformats.org/officeDocument/2006/relationships/externalLinkPath" Target="https://d.docs.live.net/fa77d33fea66a78b/Desktop/1%20PAIE%202025/1%20MAQUETTES/MAQUETTE%20SUR%201%20MOIS%20ISOLE%202025.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2026%20ASTREINTE/EXERCICE%201%20BP%20ASTREINTE%20C.xlsx" TargetMode="External"/><Relationship Id="rId1" Type="http://schemas.openxmlformats.org/officeDocument/2006/relationships/externalLinkPath" Target="https://d.docs.live.net/fa77d33fea66a78b/Desktop/1%20PAIE%202025/CHAPITRE%2026%20ASTREINTE/EXERCICE%201%20BP%20ASTREINTE%20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4">
          <cell r="D24">
            <v>154</v>
          </cell>
        </row>
        <row r="26">
          <cell r="D26">
            <v>66</v>
          </cell>
        </row>
        <row r="29">
          <cell r="D29">
            <v>34.540000000000006</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et Correction "/>
      <sheetName val="Table des Taux 2025"/>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s>
    <sheetDataSet>
      <sheetData sheetId="0"/>
      <sheetData sheetId="1">
        <row r="51">
          <cell r="D51">
            <v>3925</v>
          </cell>
        </row>
        <row r="53">
          <cell r="D53">
            <v>11.88</v>
          </cell>
        </row>
        <row r="54">
          <cell r="D54">
            <v>11.88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UELQUES EXPLICATIONS"/>
      <sheetName val="Masque de Saisie"/>
      <sheetName val="BP Version Janvier 2023"/>
      <sheetName val="Feuille de Contrôle "/>
      <sheetName val="BORDEREAU URSSAF "/>
      <sheetName val="BRC 2 "/>
      <sheetName val="CTP "/>
      <sheetName val="DISPATCH REDUCTION GEN DE COT "/>
      <sheetName val="BP Format Juillet 2023"/>
      <sheetName val="COMPTABILISATION "/>
      <sheetName val="Table des Taux 2024"/>
      <sheetName val="Heures Supplémentaires"/>
      <sheetName val="Routine Heures Supplémentaires "/>
      <sheetName val="Taux Neutre"/>
      <sheetName val="Red. Gen. de  Cot. Mois  Isolé"/>
      <sheetName val="TR Matrice Cotisations "/>
      <sheetName val="TR Matrice Net Imposable"/>
      <sheetName val="Matrice IJSS Maladie"/>
      <sheetName val="Matrice IJSS Maternité"/>
      <sheetName val="Matrice IJSS AT"/>
      <sheetName val="Matrice Val Abs"/>
    </sheetNames>
    <sheetDataSet>
      <sheetData sheetId="0"/>
      <sheetData sheetId="1"/>
      <sheetData sheetId="2">
        <row r="115">
          <cell r="E115">
            <v>14.28</v>
          </cell>
        </row>
      </sheetData>
      <sheetData sheetId="3"/>
      <sheetData sheetId="4"/>
      <sheetData sheetId="5"/>
      <sheetData sheetId="6">
        <row r="28">
          <cell r="L28">
            <v>2100</v>
          </cell>
        </row>
      </sheetData>
      <sheetData sheetId="7">
        <row r="6">
          <cell r="H6">
            <v>0.81183469004383224</v>
          </cell>
        </row>
      </sheetData>
      <sheetData sheetId="8">
        <row r="9">
          <cell r="B9">
            <v>40</v>
          </cell>
        </row>
        <row r="38">
          <cell r="G38">
            <v>0</v>
          </cell>
        </row>
      </sheetData>
      <sheetData sheetId="9">
        <row r="66">
          <cell r="C66">
            <v>12.389999999999997</v>
          </cell>
        </row>
      </sheetData>
      <sheetData sheetId="10"/>
      <sheetData sheetId="11"/>
      <sheetData sheetId="12"/>
      <sheetData sheetId="13"/>
      <sheetData sheetId="14">
        <row r="12">
          <cell r="I12">
            <v>387.03</v>
          </cell>
        </row>
      </sheetData>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Masque de Saisie"/>
      <sheetName val="BP VERSION JANVIER 2023"/>
      <sheetName val="BP FORMAT JUILLET 2023"/>
      <sheetName val="HEURES SUPPLEMENTAIRES "/>
      <sheetName val="FEUILLE DE CONTROLE "/>
      <sheetName val="TAUX NEUTRE "/>
      <sheetName val="TABLE DES TAUX 2025 "/>
      <sheetName val="TR Matrice Net Imposable "/>
      <sheetName val="TR Matrice Cotisations "/>
      <sheetName val="RED. GEN. de COT. Janv"/>
      <sheetName val="Red Gen de CoBP Format Juillet"/>
      <sheetName val="TAUX NEUTRE JANVIER  "/>
      <sheetName val="TAUX NEUTRE  MAI "/>
      <sheetName val="MATRICE IJSS ABSENCE "/>
      <sheetName val="MATRICE IJSS MALADIE"/>
      <sheetName val="MATRICE IJSS MATERNITE "/>
      <sheetName val="MATRICE ISS AT "/>
    </sheetNames>
    <sheetDataSet>
      <sheetData sheetId="0"/>
      <sheetData sheetId="1"/>
      <sheetData sheetId="2"/>
      <sheetData sheetId="3"/>
      <sheetData sheetId="4">
        <row r="89">
          <cell r="D89">
            <v>1571.54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Masque de Saisie"/>
      <sheetName val="BP VERSION JANVIER 2023"/>
      <sheetName val="BP FORMAT JUILLET 2023"/>
      <sheetName val="HEURES SUPPLEMENTAIRES "/>
      <sheetName val="FEUILLE DE CONTROLE "/>
      <sheetName val="TABLE DES TAUX 2025 "/>
      <sheetName val="TR Matrice Net Imposable "/>
      <sheetName val="TR Matrice Cotisations "/>
      <sheetName val="RED. GEN. de COT. Janv"/>
      <sheetName val="Red Gen de CoBP Format Juillet"/>
      <sheetName val="ENONCE  2025"/>
      <sheetName val="MAQUETTE ASTREINTE "/>
      <sheetName val="CORRECTION 2025"/>
      <sheetName val="BP 1"/>
      <sheetName val="BP 2"/>
      <sheetName val="BP 3"/>
      <sheetName val="TAUX NEUTRE "/>
      <sheetName val="TAUX NEUTRE AU 1 er Mai 2025 "/>
      <sheetName val="MATRICE IJSS ABSENCE "/>
      <sheetName val="MATRICE IJSS MALADIE"/>
      <sheetName val="MATRICE IJSS MATERNITE "/>
      <sheetName val="MATRICE ISS AT "/>
    </sheetNames>
    <sheetDataSet>
      <sheetData sheetId="0"/>
      <sheetData sheetId="1"/>
      <sheetData sheetId="2"/>
      <sheetData sheetId="3"/>
      <sheetData sheetId="4">
        <row r="89">
          <cell r="D89">
            <v>1571.54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1.bin"/><Relationship Id="rId1" Type="http://schemas.openxmlformats.org/officeDocument/2006/relationships/hyperlink" Target="https://www.urssaf.fr/accueil/employeur/cotisations/liste-cotisations/taxe-apprentissage-csa.html" TargetMode="External"/><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omments" Target="../comments6.xml"/><Relationship Id="rId5" Type="http://schemas.openxmlformats.org/officeDocument/2006/relationships/image" Target="../media/image10.emf"/><Relationship Id="rId4" Type="http://schemas.openxmlformats.org/officeDocument/2006/relationships/package" Target="../embeddings/Microsoft_Word_Document1.docx"/></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drawing" Target="../drawings/drawing13.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39"/>
  <sheetViews>
    <sheetView topLeftCell="A213" workbookViewId="0">
      <selection activeCell="G223" sqref="G223"/>
    </sheetView>
  </sheetViews>
  <sheetFormatPr baseColWidth="10" defaultRowHeight="15" x14ac:dyDescent="0.25"/>
  <cols>
    <col min="14" max="14" width="23.5703125" customWidth="1"/>
    <col min="15" max="15" width="12.7109375" customWidth="1"/>
  </cols>
  <sheetData>
    <row r="1" spans="2:16" x14ac:dyDescent="0.25">
      <c r="J1" s="844" t="s">
        <v>519</v>
      </c>
      <c r="K1" s="844"/>
      <c r="L1" s="844"/>
      <c r="M1" s="844"/>
      <c r="N1" s="844"/>
      <c r="O1" s="844"/>
      <c r="P1" s="844"/>
    </row>
    <row r="3" spans="2:16" x14ac:dyDescent="0.25">
      <c r="J3" s="59" t="s">
        <v>520</v>
      </c>
      <c r="M3" s="59"/>
      <c r="N3" s="59"/>
      <c r="O3" s="59"/>
    </row>
    <row r="4" spans="2:16" x14ac:dyDescent="0.25">
      <c r="L4" s="59" t="s">
        <v>521</v>
      </c>
      <c r="M4" s="59"/>
      <c r="N4" s="59"/>
      <c r="O4" s="59"/>
    </row>
    <row r="5" spans="2:16" x14ac:dyDescent="0.25">
      <c r="L5" s="59" t="s">
        <v>522</v>
      </c>
      <c r="M5" s="59"/>
      <c r="N5" s="59"/>
      <c r="O5" s="59"/>
    </row>
    <row r="6" spans="2:16" x14ac:dyDescent="0.25">
      <c r="L6" s="59"/>
      <c r="M6" s="59"/>
      <c r="N6" s="59"/>
      <c r="O6" s="59"/>
    </row>
    <row r="7" spans="2:16" ht="18.75" x14ac:dyDescent="0.25">
      <c r="B7" s="845" t="s">
        <v>523</v>
      </c>
      <c r="C7" s="846"/>
      <c r="D7" s="536"/>
      <c r="E7" s="536"/>
      <c r="I7" s="851" t="s">
        <v>524</v>
      </c>
      <c r="J7" s="852"/>
      <c r="L7" s="59" t="s">
        <v>525</v>
      </c>
      <c r="M7" s="59"/>
      <c r="N7" s="59"/>
      <c r="O7" s="59"/>
    </row>
    <row r="8" spans="2:16" ht="18.75" x14ac:dyDescent="0.25">
      <c r="B8" s="847"/>
      <c r="C8" s="848"/>
      <c r="D8" s="536"/>
      <c r="E8" s="536"/>
      <c r="I8" s="853"/>
      <c r="J8" s="854"/>
      <c r="L8" s="59"/>
      <c r="M8" s="59"/>
      <c r="N8" s="59"/>
      <c r="O8" s="59"/>
    </row>
    <row r="9" spans="2:16" ht="18.75" x14ac:dyDescent="0.25">
      <c r="B9" s="847"/>
      <c r="C9" s="848"/>
      <c r="D9" s="536"/>
      <c r="E9" s="536"/>
      <c r="I9" s="853"/>
      <c r="J9" s="854"/>
      <c r="L9" s="59" t="s">
        <v>526</v>
      </c>
      <c r="M9" s="59"/>
      <c r="N9" s="59"/>
      <c r="O9" s="59"/>
    </row>
    <row r="10" spans="2:16" ht="18.75" x14ac:dyDescent="0.25">
      <c r="B10" s="847"/>
      <c r="C10" s="848"/>
      <c r="D10" s="536"/>
      <c r="E10" s="536"/>
      <c r="I10" s="853"/>
      <c r="J10" s="854"/>
      <c r="L10" s="59"/>
      <c r="M10" s="59"/>
      <c r="N10" s="59"/>
      <c r="O10" s="59"/>
    </row>
    <row r="11" spans="2:16" ht="18.75" x14ac:dyDescent="0.25">
      <c r="B11" s="847"/>
      <c r="C11" s="848"/>
      <c r="D11" s="536"/>
      <c r="E11" s="536"/>
      <c r="I11" s="853"/>
      <c r="J11" s="854"/>
      <c r="L11" s="518" t="s">
        <v>527</v>
      </c>
      <c r="M11" s="59"/>
      <c r="N11" s="59"/>
      <c r="O11" s="59"/>
    </row>
    <row r="12" spans="2:16" ht="18.75" x14ac:dyDescent="0.25">
      <c r="B12" s="847"/>
      <c r="C12" s="848"/>
      <c r="D12" s="536"/>
      <c r="E12" s="536"/>
      <c r="I12" s="853"/>
      <c r="J12" s="854"/>
      <c r="L12" s="59"/>
      <c r="M12" s="59"/>
      <c r="N12" s="59"/>
      <c r="O12" s="59"/>
    </row>
    <row r="13" spans="2:16" ht="18.75" x14ac:dyDescent="0.25">
      <c r="B13" s="847"/>
      <c r="C13" s="848"/>
      <c r="D13" s="536"/>
      <c r="E13" s="536"/>
      <c r="I13" s="853"/>
      <c r="J13" s="854"/>
      <c r="L13" s="59" t="s">
        <v>528</v>
      </c>
      <c r="M13" s="59"/>
      <c r="N13" s="59"/>
      <c r="O13" s="59"/>
    </row>
    <row r="14" spans="2:16" ht="18.75" x14ac:dyDescent="0.25">
      <c r="B14" s="847"/>
      <c r="C14" s="848"/>
      <c r="D14" s="536"/>
      <c r="E14" s="536"/>
      <c r="I14" s="853"/>
      <c r="J14" s="854"/>
      <c r="L14" s="59"/>
      <c r="M14" s="59"/>
      <c r="N14" s="59"/>
      <c r="O14" s="59"/>
    </row>
    <row r="15" spans="2:16" ht="18.75" x14ac:dyDescent="0.25">
      <c r="B15" s="849"/>
      <c r="C15" s="850"/>
      <c r="D15" s="536"/>
      <c r="E15" s="536"/>
      <c r="I15" s="855"/>
      <c r="J15" s="856"/>
      <c r="L15" s="59" t="s">
        <v>529</v>
      </c>
      <c r="M15" s="59"/>
      <c r="N15" s="59"/>
      <c r="O15" s="59"/>
    </row>
    <row r="16" spans="2:16" x14ac:dyDescent="0.25">
      <c r="L16" s="59"/>
      <c r="M16" s="59"/>
      <c r="N16" s="59"/>
      <c r="O16" s="59"/>
    </row>
    <row r="17" spans="1:15" x14ac:dyDescent="0.25">
      <c r="L17" s="59" t="s">
        <v>13</v>
      </c>
      <c r="M17" s="59"/>
      <c r="N17" s="59"/>
      <c r="O17" s="59"/>
    </row>
    <row r="18" spans="1:15" x14ac:dyDescent="0.25">
      <c r="L18" s="59"/>
      <c r="M18" s="59"/>
      <c r="N18" s="59"/>
      <c r="O18" s="59"/>
    </row>
    <row r="19" spans="1:15" x14ac:dyDescent="0.25">
      <c r="L19" s="59" t="s">
        <v>530</v>
      </c>
      <c r="M19" s="59"/>
      <c r="N19" s="59"/>
      <c r="O19" s="59"/>
    </row>
    <row r="20" spans="1:15" x14ac:dyDescent="0.25">
      <c r="L20" s="59"/>
      <c r="M20" s="59"/>
      <c r="N20" s="59"/>
      <c r="O20" s="59"/>
    </row>
    <row r="21" spans="1:15" x14ac:dyDescent="0.25">
      <c r="L21" s="59" t="s">
        <v>342</v>
      </c>
      <c r="M21" s="59"/>
      <c r="N21" s="59"/>
      <c r="O21" s="59"/>
    </row>
    <row r="22" spans="1:15" x14ac:dyDescent="0.25">
      <c r="L22" s="59"/>
      <c r="M22" s="59"/>
      <c r="N22" s="59"/>
      <c r="O22" s="59"/>
    </row>
    <row r="23" spans="1:15" x14ac:dyDescent="0.25">
      <c r="A23" t="s">
        <v>531</v>
      </c>
      <c r="L23" s="59" t="s">
        <v>532</v>
      </c>
      <c r="M23" s="59"/>
      <c r="N23" s="59"/>
      <c r="O23" s="59"/>
    </row>
    <row r="24" spans="1:15" x14ac:dyDescent="0.25">
      <c r="A24" t="s">
        <v>533</v>
      </c>
    </row>
    <row r="25" spans="1:15" x14ac:dyDescent="0.25">
      <c r="A25" t="s">
        <v>534</v>
      </c>
    </row>
    <row r="26" spans="1:15" x14ac:dyDescent="0.25">
      <c r="A26" t="s">
        <v>535</v>
      </c>
      <c r="E26" s="837" t="s">
        <v>536</v>
      </c>
      <c r="F26" s="837"/>
      <c r="H26" s="837" t="s">
        <v>537</v>
      </c>
      <c r="I26" s="837"/>
      <c r="K26" s="837" t="s">
        <v>538</v>
      </c>
      <c r="L26" s="837"/>
    </row>
    <row r="27" spans="1:15" x14ac:dyDescent="0.25">
      <c r="A27" t="s">
        <v>539</v>
      </c>
    </row>
    <row r="28" spans="1:15" x14ac:dyDescent="0.25">
      <c r="B28" s="837"/>
      <c r="C28" s="837"/>
      <c r="E28" s="838" t="s">
        <v>540</v>
      </c>
      <c r="F28" s="839"/>
      <c r="H28" s="838" t="s">
        <v>541</v>
      </c>
      <c r="I28" s="839"/>
      <c r="K28" s="838" t="s">
        <v>541</v>
      </c>
      <c r="L28" s="839"/>
    </row>
    <row r="29" spans="1:15" x14ac:dyDescent="0.25">
      <c r="B29" s="837"/>
      <c r="C29" s="837"/>
      <c r="E29" s="840"/>
      <c r="F29" s="841"/>
      <c r="H29" s="840"/>
      <c r="I29" s="841"/>
      <c r="K29" s="840"/>
      <c r="L29" s="841"/>
    </row>
    <row r="30" spans="1:15" x14ac:dyDescent="0.25">
      <c r="B30" s="837"/>
      <c r="C30" s="837"/>
      <c r="E30" s="840"/>
      <c r="F30" s="841"/>
      <c r="H30" s="840"/>
      <c r="I30" s="841"/>
      <c r="K30" s="840"/>
      <c r="L30" s="841"/>
    </row>
    <row r="31" spans="1:15" x14ac:dyDescent="0.25">
      <c r="B31" s="837"/>
      <c r="C31" s="837"/>
      <c r="E31" s="840"/>
      <c r="F31" s="841"/>
      <c r="H31" s="840"/>
      <c r="I31" s="841"/>
      <c r="K31" s="840"/>
      <c r="L31" s="841"/>
    </row>
    <row r="32" spans="1:15" x14ac:dyDescent="0.25">
      <c r="B32" s="837"/>
      <c r="C32" s="837"/>
      <c r="E32" s="840"/>
      <c r="F32" s="841"/>
      <c r="H32" s="840"/>
      <c r="I32" s="841"/>
      <c r="K32" s="840"/>
      <c r="L32" s="841"/>
    </row>
    <row r="33" spans="2:12" x14ac:dyDescent="0.25">
      <c r="B33" s="837"/>
      <c r="C33" s="837"/>
      <c r="E33" s="840"/>
      <c r="F33" s="841"/>
      <c r="H33" s="840"/>
      <c r="I33" s="841"/>
      <c r="K33" s="840"/>
      <c r="L33" s="841"/>
    </row>
    <row r="34" spans="2:12" x14ac:dyDescent="0.25">
      <c r="B34" s="837"/>
      <c r="C34" s="837"/>
      <c r="E34" s="840"/>
      <c r="F34" s="841"/>
      <c r="H34" s="840"/>
      <c r="I34" s="841"/>
      <c r="K34" s="840"/>
      <c r="L34" s="841"/>
    </row>
    <row r="35" spans="2:12" x14ac:dyDescent="0.25">
      <c r="B35" s="837"/>
      <c r="C35" s="837"/>
      <c r="E35" s="840"/>
      <c r="F35" s="841"/>
      <c r="H35" s="840"/>
      <c r="I35" s="841"/>
      <c r="K35" s="840"/>
      <c r="L35" s="841"/>
    </row>
    <row r="36" spans="2:12" x14ac:dyDescent="0.25">
      <c r="B36" s="837"/>
      <c r="C36" s="837"/>
      <c r="E36" s="842"/>
      <c r="F36" s="843"/>
      <c r="H36" s="842"/>
      <c r="I36" s="843"/>
      <c r="K36" s="842"/>
      <c r="L36" s="843"/>
    </row>
    <row r="38" spans="2:12" x14ac:dyDescent="0.25">
      <c r="J38" t="s">
        <v>672</v>
      </c>
    </row>
    <row r="39" spans="2:12" ht="15.75" x14ac:dyDescent="0.25">
      <c r="B39" s="188" t="s">
        <v>542</v>
      </c>
      <c r="C39" s="188"/>
      <c r="D39" s="188"/>
      <c r="E39" s="188"/>
      <c r="F39" s="59"/>
      <c r="G39" s="59"/>
      <c r="J39" t="s">
        <v>673</v>
      </c>
    </row>
    <row r="40" spans="2:12" ht="15.75" x14ac:dyDescent="0.25">
      <c r="B40" s="188"/>
      <c r="C40" s="188"/>
      <c r="D40" s="188"/>
      <c r="E40" s="188"/>
      <c r="F40" s="59"/>
      <c r="G40" s="59"/>
      <c r="J40" t="s">
        <v>674</v>
      </c>
    </row>
    <row r="41" spans="2:12" ht="15.75" x14ac:dyDescent="0.25">
      <c r="B41" s="188"/>
      <c r="C41" s="188" t="s">
        <v>543</v>
      </c>
      <c r="D41" s="188"/>
      <c r="E41" s="188"/>
      <c r="F41" s="59"/>
      <c r="G41" s="59"/>
    </row>
    <row r="42" spans="2:12" ht="15.75" x14ac:dyDescent="0.25">
      <c r="B42" s="188"/>
      <c r="C42" s="188"/>
      <c r="D42" s="188"/>
      <c r="E42" s="188"/>
      <c r="F42" s="59"/>
      <c r="G42" s="59"/>
    </row>
    <row r="43" spans="2:12" ht="15.75" x14ac:dyDescent="0.25">
      <c r="B43" s="188"/>
      <c r="C43" s="188"/>
      <c r="D43" s="188" t="s">
        <v>544</v>
      </c>
      <c r="E43" s="188"/>
      <c r="F43" s="59"/>
      <c r="G43" s="59"/>
    </row>
    <row r="44" spans="2:12" ht="15.75" x14ac:dyDescent="0.25">
      <c r="B44" s="188"/>
      <c r="C44" s="188"/>
      <c r="D44" s="188" t="s">
        <v>545</v>
      </c>
      <c r="E44" s="188"/>
      <c r="F44" s="59"/>
      <c r="G44" s="59"/>
    </row>
    <row r="45" spans="2:12" ht="15.75" x14ac:dyDescent="0.25">
      <c r="B45" s="188"/>
      <c r="C45" s="28"/>
      <c r="D45" s="188"/>
      <c r="E45" s="188"/>
      <c r="F45" s="59"/>
      <c r="G45" s="59"/>
    </row>
    <row r="46" spans="2:12" ht="15.75" x14ac:dyDescent="0.25">
      <c r="B46" s="28"/>
      <c r="C46" s="28"/>
      <c r="D46" s="28"/>
      <c r="E46" s="188" t="s">
        <v>546</v>
      </c>
    </row>
    <row r="48" spans="2:12" ht="15.75" x14ac:dyDescent="0.25">
      <c r="C48" s="188" t="s">
        <v>547</v>
      </c>
      <c r="D48" s="188"/>
      <c r="E48" s="28"/>
    </row>
    <row r="49" spans="3:9" ht="15.75" x14ac:dyDescent="0.25">
      <c r="C49" s="188"/>
      <c r="D49" s="188" t="s">
        <v>548</v>
      </c>
      <c r="E49" s="28"/>
    </row>
    <row r="50" spans="3:9" ht="15.75" x14ac:dyDescent="0.25">
      <c r="C50" s="188"/>
      <c r="D50" s="188" t="s">
        <v>549</v>
      </c>
      <c r="E50" s="28"/>
    </row>
    <row r="51" spans="3:9" ht="15.75" x14ac:dyDescent="0.25">
      <c r="C51" s="188"/>
      <c r="D51" s="188" t="s">
        <v>550</v>
      </c>
      <c r="E51" s="28"/>
    </row>
    <row r="52" spans="3:9" ht="15.75" x14ac:dyDescent="0.25">
      <c r="C52" s="28"/>
      <c r="D52" s="188" t="s">
        <v>551</v>
      </c>
      <c r="E52" s="28"/>
    </row>
    <row r="53" spans="3:9" ht="15.75" x14ac:dyDescent="0.25">
      <c r="C53" s="28"/>
      <c r="D53" s="188" t="s">
        <v>552</v>
      </c>
      <c r="E53" s="28"/>
    </row>
    <row r="54" spans="3:9" ht="15.75" x14ac:dyDescent="0.25">
      <c r="C54" s="28"/>
      <c r="D54" s="188" t="s">
        <v>553</v>
      </c>
      <c r="E54" s="28"/>
    </row>
    <row r="55" spans="3:9" ht="15.75" x14ac:dyDescent="0.25">
      <c r="C55" s="28"/>
      <c r="D55" s="188" t="s">
        <v>554</v>
      </c>
      <c r="E55" s="28"/>
    </row>
    <row r="56" spans="3:9" ht="15.75" x14ac:dyDescent="0.25">
      <c r="D56" s="188" t="s">
        <v>555</v>
      </c>
    </row>
    <row r="57" spans="3:9" ht="15.75" x14ac:dyDescent="0.25">
      <c r="D57" s="188" t="s">
        <v>556</v>
      </c>
    </row>
    <row r="59" spans="3:9" x14ac:dyDescent="0.25">
      <c r="E59" s="59" t="s">
        <v>557</v>
      </c>
      <c r="F59" s="59"/>
      <c r="G59" s="59"/>
      <c r="H59" s="59"/>
      <c r="I59" s="59"/>
    </row>
    <row r="60" spans="3:9" x14ac:dyDescent="0.25">
      <c r="E60" s="59"/>
      <c r="F60" s="59" t="s">
        <v>558</v>
      </c>
      <c r="G60" s="59"/>
      <c r="H60" s="59"/>
      <c r="I60" s="59"/>
    </row>
    <row r="61" spans="3:9" x14ac:dyDescent="0.25">
      <c r="E61" s="59"/>
      <c r="F61" s="59" t="s">
        <v>559</v>
      </c>
      <c r="G61" s="59"/>
      <c r="H61" s="59"/>
      <c r="I61" s="59"/>
    </row>
    <row r="62" spans="3:9" x14ac:dyDescent="0.25">
      <c r="E62" s="59"/>
      <c r="F62" s="59"/>
      <c r="G62" s="59" t="s">
        <v>560</v>
      </c>
      <c r="H62" s="59"/>
      <c r="I62" s="59"/>
    </row>
    <row r="63" spans="3:9" x14ac:dyDescent="0.25">
      <c r="E63" s="59"/>
      <c r="F63" s="59"/>
      <c r="G63" s="59" t="s">
        <v>561</v>
      </c>
      <c r="H63" s="59"/>
      <c r="I63" s="59"/>
    </row>
    <row r="64" spans="3:9" x14ac:dyDescent="0.25">
      <c r="E64" s="59"/>
      <c r="F64" s="59"/>
      <c r="G64" s="59" t="s">
        <v>562</v>
      </c>
      <c r="H64" s="59"/>
      <c r="I64" s="59"/>
    </row>
    <row r="65" spans="2:10" x14ac:dyDescent="0.25">
      <c r="E65" s="59"/>
      <c r="F65" s="59"/>
      <c r="G65" s="59" t="s">
        <v>563</v>
      </c>
      <c r="H65" s="59"/>
      <c r="I65" s="59"/>
    </row>
    <row r="66" spans="2:10" x14ac:dyDescent="0.25">
      <c r="E66" s="59"/>
      <c r="F66" s="59"/>
      <c r="G66" s="59" t="s">
        <v>564</v>
      </c>
      <c r="H66" s="59"/>
      <c r="I66" s="59"/>
    </row>
    <row r="67" spans="2:10" x14ac:dyDescent="0.25">
      <c r="E67" s="59"/>
      <c r="F67" s="59"/>
      <c r="G67" s="59" t="s">
        <v>565</v>
      </c>
      <c r="H67" s="59"/>
      <c r="I67" s="59"/>
    </row>
    <row r="68" spans="2:10" x14ac:dyDescent="0.25">
      <c r="E68" s="59"/>
      <c r="F68" s="59"/>
      <c r="G68" s="59" t="s">
        <v>1045</v>
      </c>
      <c r="H68" s="59"/>
      <c r="I68" s="59"/>
      <c r="J68" s="59"/>
    </row>
    <row r="69" spans="2:10" x14ac:dyDescent="0.25">
      <c r="G69" s="59" t="s">
        <v>566</v>
      </c>
      <c r="H69" s="59"/>
      <c r="I69" s="59"/>
      <c r="J69" s="59"/>
    </row>
    <row r="70" spans="2:10" x14ac:dyDescent="0.25">
      <c r="G70" s="59"/>
      <c r="H70" s="59" t="s">
        <v>567</v>
      </c>
      <c r="I70" s="59"/>
      <c r="J70" s="59"/>
    </row>
    <row r="71" spans="2:10" x14ac:dyDescent="0.25">
      <c r="G71" s="59"/>
      <c r="H71" s="518" t="s">
        <v>568</v>
      </c>
      <c r="I71" s="59"/>
      <c r="J71" s="59"/>
    </row>
    <row r="72" spans="2:10" x14ac:dyDescent="0.25">
      <c r="G72" s="59"/>
      <c r="H72" s="59" t="s">
        <v>569</v>
      </c>
      <c r="I72" s="59"/>
      <c r="J72" s="59"/>
    </row>
    <row r="73" spans="2:10" x14ac:dyDescent="0.25">
      <c r="G73" s="59"/>
      <c r="H73" s="59"/>
      <c r="I73" s="518" t="s">
        <v>570</v>
      </c>
      <c r="J73" s="59"/>
    </row>
    <row r="74" spans="2:10" x14ac:dyDescent="0.25">
      <c r="G74" s="59"/>
      <c r="H74" s="59"/>
      <c r="I74" s="59" t="s">
        <v>571</v>
      </c>
      <c r="J74" s="59"/>
    </row>
    <row r="75" spans="2:10" x14ac:dyDescent="0.25">
      <c r="G75" s="59"/>
      <c r="H75" s="59"/>
      <c r="I75" s="59" t="s">
        <v>572</v>
      </c>
      <c r="J75" s="59"/>
    </row>
    <row r="76" spans="2:10" x14ac:dyDescent="0.25">
      <c r="G76" s="59"/>
      <c r="H76" s="59"/>
      <c r="I76" s="59"/>
      <c r="J76" s="59"/>
    </row>
    <row r="77" spans="2:10" x14ac:dyDescent="0.25">
      <c r="B77" s="59" t="s">
        <v>573</v>
      </c>
      <c r="G77" s="59"/>
      <c r="H77" s="59"/>
      <c r="I77" s="59"/>
      <c r="J77" s="59"/>
    </row>
    <row r="78" spans="2:10" x14ac:dyDescent="0.25">
      <c r="G78" s="59"/>
      <c r="H78" s="59"/>
      <c r="I78" s="59"/>
      <c r="J78" s="59"/>
    </row>
    <row r="79" spans="2:10" x14ac:dyDescent="0.25">
      <c r="B79" s="59" t="s">
        <v>574</v>
      </c>
      <c r="C79" s="59"/>
      <c r="D79" s="59"/>
      <c r="E79" s="59"/>
      <c r="F79" s="59"/>
      <c r="G79" s="59"/>
      <c r="H79" s="59"/>
      <c r="I79" s="59"/>
      <c r="J79" s="59"/>
    </row>
    <row r="80" spans="2:10" x14ac:dyDescent="0.25">
      <c r="B80" s="59" t="s">
        <v>575</v>
      </c>
      <c r="C80" s="59"/>
      <c r="D80" s="59"/>
      <c r="E80" s="59"/>
      <c r="F80" s="59"/>
      <c r="G80" s="59"/>
      <c r="H80" s="59"/>
      <c r="I80" s="59"/>
      <c r="J80" s="59"/>
    </row>
    <row r="81" spans="2:10" x14ac:dyDescent="0.25">
      <c r="B81" s="59"/>
      <c r="D81" s="59"/>
      <c r="E81" s="59"/>
      <c r="F81" s="59"/>
      <c r="G81" s="59"/>
      <c r="H81" s="59"/>
      <c r="I81" s="59"/>
      <c r="J81" s="59"/>
    </row>
    <row r="82" spans="2:10" x14ac:dyDescent="0.25">
      <c r="C82" s="59" t="s">
        <v>576</v>
      </c>
    </row>
    <row r="83" spans="2:10" x14ac:dyDescent="0.25">
      <c r="C83" s="59" t="s">
        <v>577</v>
      </c>
    </row>
    <row r="84" spans="2:10" x14ac:dyDescent="0.25">
      <c r="C84" s="59"/>
    </row>
    <row r="85" spans="2:10" x14ac:dyDescent="0.25">
      <c r="C85" s="59" t="s">
        <v>578</v>
      </c>
    </row>
    <row r="86" spans="2:10" x14ac:dyDescent="0.25">
      <c r="C86" s="59" t="s">
        <v>579</v>
      </c>
    </row>
    <row r="87" spans="2:10" x14ac:dyDescent="0.25">
      <c r="C87" s="59" t="s">
        <v>580</v>
      </c>
    </row>
    <row r="88" spans="2:10" x14ac:dyDescent="0.25">
      <c r="C88" s="59" t="s">
        <v>581</v>
      </c>
    </row>
    <row r="89" spans="2:10" x14ac:dyDescent="0.25">
      <c r="C89" s="59"/>
    </row>
    <row r="90" spans="2:10" x14ac:dyDescent="0.25">
      <c r="B90" s="59" t="s">
        <v>582</v>
      </c>
      <c r="D90" s="59"/>
      <c r="E90" s="59"/>
    </row>
    <row r="91" spans="2:10" x14ac:dyDescent="0.25">
      <c r="B91" s="59"/>
      <c r="D91" s="59"/>
      <c r="E91" s="59"/>
    </row>
    <row r="92" spans="2:10" x14ac:dyDescent="0.25">
      <c r="C92" s="59"/>
      <c r="D92" s="59" t="s">
        <v>583</v>
      </c>
      <c r="E92" s="59"/>
    </row>
    <row r="93" spans="2:10" x14ac:dyDescent="0.25">
      <c r="C93" s="59"/>
      <c r="D93" s="59"/>
      <c r="E93" s="59" t="s">
        <v>584</v>
      </c>
    </row>
    <row r="94" spans="2:10" x14ac:dyDescent="0.25">
      <c r="E94" s="59" t="s">
        <v>585</v>
      </c>
    </row>
    <row r="95" spans="2:10" x14ac:dyDescent="0.25">
      <c r="D95" s="59" t="s">
        <v>586</v>
      </c>
    </row>
    <row r="96" spans="2:10" x14ac:dyDescent="0.25">
      <c r="D96" s="59" t="s">
        <v>587</v>
      </c>
    </row>
    <row r="97" spans="2:11" x14ac:dyDescent="0.25">
      <c r="D97" s="59" t="s">
        <v>588</v>
      </c>
    </row>
    <row r="99" spans="2:11" x14ac:dyDescent="0.25">
      <c r="B99" s="59" t="s">
        <v>589</v>
      </c>
    </row>
    <row r="101" spans="2:11" x14ac:dyDescent="0.25">
      <c r="B101" s="59" t="s">
        <v>590</v>
      </c>
    </row>
    <row r="104" spans="2:11" x14ac:dyDescent="0.25">
      <c r="C104" s="59" t="s">
        <v>591</v>
      </c>
      <c r="D104" s="59"/>
      <c r="E104" s="59"/>
      <c r="F104" s="59"/>
      <c r="G104" s="59"/>
      <c r="H104" s="59"/>
      <c r="I104" s="59"/>
      <c r="J104" s="59"/>
      <c r="K104" s="59"/>
    </row>
    <row r="105" spans="2:11" x14ac:dyDescent="0.25">
      <c r="C105" s="59"/>
      <c r="D105" s="59"/>
      <c r="E105" s="59"/>
      <c r="F105" s="59"/>
      <c r="G105" s="59"/>
      <c r="H105" s="59"/>
      <c r="I105" s="59"/>
      <c r="J105" s="59"/>
      <c r="K105" s="59"/>
    </row>
    <row r="106" spans="2:11" x14ac:dyDescent="0.25">
      <c r="C106" s="59"/>
      <c r="D106" s="59" t="s">
        <v>592</v>
      </c>
      <c r="E106" s="59"/>
      <c r="F106" s="59"/>
      <c r="G106" s="59"/>
      <c r="H106" s="59"/>
      <c r="I106" s="59"/>
      <c r="J106" s="59"/>
      <c r="K106" s="59"/>
    </row>
    <row r="107" spans="2:11" x14ac:dyDescent="0.25">
      <c r="C107" s="59"/>
      <c r="D107" s="59"/>
      <c r="E107" s="59"/>
      <c r="F107" s="59"/>
      <c r="G107" s="59"/>
      <c r="H107" s="59"/>
      <c r="I107" s="59"/>
      <c r="J107" s="59"/>
      <c r="K107" s="59"/>
    </row>
    <row r="108" spans="2:11" x14ac:dyDescent="0.25">
      <c r="C108" s="59"/>
      <c r="D108" s="59"/>
      <c r="E108" s="59" t="s">
        <v>593</v>
      </c>
      <c r="F108" s="59"/>
      <c r="G108" s="59"/>
      <c r="H108" s="59"/>
      <c r="I108" s="59"/>
      <c r="J108" s="59"/>
      <c r="K108" s="59"/>
    </row>
    <row r="109" spans="2:11" x14ac:dyDescent="0.25">
      <c r="C109" s="59"/>
      <c r="D109" s="59"/>
      <c r="E109" s="59" t="s">
        <v>594</v>
      </c>
      <c r="F109" s="59"/>
      <c r="G109" s="59"/>
      <c r="H109" s="59"/>
      <c r="I109" s="59"/>
      <c r="J109" s="59"/>
      <c r="K109" s="59"/>
    </row>
    <row r="110" spans="2:11" x14ac:dyDescent="0.25">
      <c r="C110" s="59"/>
      <c r="D110" s="59"/>
      <c r="E110" s="59"/>
      <c r="F110" s="59"/>
      <c r="G110" s="59"/>
      <c r="H110" s="59"/>
      <c r="I110" s="59"/>
      <c r="J110" s="59"/>
      <c r="K110" s="59"/>
    </row>
    <row r="111" spans="2:11" x14ac:dyDescent="0.25">
      <c r="C111" s="59"/>
      <c r="D111" s="59"/>
      <c r="E111" s="59"/>
      <c r="F111" s="59" t="s">
        <v>595</v>
      </c>
      <c r="G111" s="59"/>
      <c r="H111" s="59"/>
      <c r="I111" s="59"/>
      <c r="J111" s="59"/>
      <c r="K111" s="59"/>
    </row>
    <row r="112" spans="2:11" x14ac:dyDescent="0.25">
      <c r="C112" s="59"/>
      <c r="D112" s="59"/>
      <c r="E112" s="59"/>
      <c r="F112" s="59"/>
      <c r="G112" s="59"/>
      <c r="H112" s="59" t="s">
        <v>596</v>
      </c>
      <c r="I112" s="59"/>
      <c r="J112" s="59"/>
      <c r="K112" s="59"/>
    </row>
    <row r="113" spans="2:13" x14ac:dyDescent="0.25">
      <c r="C113" s="59"/>
      <c r="D113" s="59"/>
      <c r="E113" s="59"/>
      <c r="F113" s="59"/>
      <c r="G113" s="59"/>
      <c r="H113" s="59" t="s">
        <v>65</v>
      </c>
      <c r="I113" s="59"/>
      <c r="J113" s="59"/>
      <c r="K113" s="59"/>
    </row>
    <row r="114" spans="2:13" x14ac:dyDescent="0.25">
      <c r="C114" s="59"/>
      <c r="D114" s="59"/>
      <c r="E114" s="59"/>
      <c r="F114" s="59"/>
      <c r="G114" s="59"/>
      <c r="H114" s="59" t="s">
        <v>597</v>
      </c>
      <c r="I114" s="59"/>
      <c r="J114" s="59"/>
      <c r="K114" s="59"/>
    </row>
    <row r="115" spans="2:13" x14ac:dyDescent="0.25">
      <c r="C115" s="59"/>
      <c r="D115" s="59"/>
      <c r="E115" s="59"/>
      <c r="F115" s="59"/>
      <c r="G115" s="59"/>
      <c r="H115" s="59" t="s">
        <v>598</v>
      </c>
      <c r="I115" s="59"/>
      <c r="J115" s="59"/>
      <c r="K115" s="59"/>
    </row>
    <row r="116" spans="2:13" x14ac:dyDescent="0.25">
      <c r="C116" s="59"/>
      <c r="D116" s="59"/>
      <c r="E116" s="59"/>
      <c r="F116" s="59"/>
      <c r="G116" s="59"/>
      <c r="H116" s="59" t="s">
        <v>599</v>
      </c>
      <c r="I116" s="59"/>
      <c r="J116" s="59"/>
      <c r="K116" s="59"/>
    </row>
    <row r="117" spans="2:13" x14ac:dyDescent="0.25">
      <c r="C117" s="59"/>
      <c r="D117" s="59"/>
      <c r="E117" s="59"/>
      <c r="F117" s="59"/>
      <c r="G117" s="59"/>
      <c r="H117" s="59" t="s">
        <v>600</v>
      </c>
      <c r="I117" s="59"/>
      <c r="J117" s="59"/>
      <c r="K117" s="59"/>
    </row>
    <row r="118" spans="2:13" x14ac:dyDescent="0.25">
      <c r="C118" s="59"/>
      <c r="D118" s="59"/>
      <c r="E118" s="59"/>
      <c r="F118" s="59"/>
      <c r="G118" s="59"/>
      <c r="H118" s="59" t="s">
        <v>601</v>
      </c>
      <c r="I118" s="59"/>
      <c r="J118" s="59"/>
      <c r="K118" s="59"/>
    </row>
    <row r="119" spans="2:13" x14ac:dyDescent="0.25">
      <c r="C119" s="59"/>
      <c r="D119" s="59"/>
      <c r="E119" s="59"/>
      <c r="F119" s="59"/>
      <c r="G119" s="59"/>
      <c r="H119" s="59"/>
      <c r="I119" s="59"/>
      <c r="J119" s="59"/>
      <c r="K119" s="59"/>
    </row>
    <row r="120" spans="2:13" x14ac:dyDescent="0.25">
      <c r="B120" s="537"/>
      <c r="C120" s="538"/>
      <c r="D120" s="538"/>
      <c r="E120" s="538"/>
      <c r="F120" s="538"/>
      <c r="G120" s="538"/>
      <c r="H120" s="538"/>
      <c r="I120" s="538"/>
      <c r="J120" s="538"/>
      <c r="K120" s="538"/>
      <c r="L120" s="539"/>
      <c r="M120" s="540"/>
    </row>
    <row r="121" spans="2:13" x14ac:dyDescent="0.25">
      <c r="B121" s="435"/>
      <c r="C121" s="59" t="s">
        <v>602</v>
      </c>
      <c r="D121" s="59"/>
      <c r="E121" s="59"/>
      <c r="H121" s="59"/>
      <c r="I121" s="59"/>
      <c r="J121" s="59"/>
      <c r="K121" s="59"/>
      <c r="M121" s="541"/>
    </row>
    <row r="122" spans="2:13" x14ac:dyDescent="0.25">
      <c r="B122" s="435"/>
      <c r="C122" s="59" t="s">
        <v>603</v>
      </c>
      <c r="D122" s="59"/>
      <c r="E122" s="59"/>
      <c r="H122" s="59"/>
      <c r="I122" s="59"/>
      <c r="J122" s="59"/>
      <c r="K122" s="59"/>
      <c r="M122" s="541"/>
    </row>
    <row r="123" spans="2:13" x14ac:dyDescent="0.25">
      <c r="B123" s="435"/>
      <c r="M123" s="541"/>
    </row>
    <row r="124" spans="2:13" x14ac:dyDescent="0.25">
      <c r="B124" s="435"/>
      <c r="D124" s="59" t="s">
        <v>604</v>
      </c>
      <c r="M124" s="541"/>
    </row>
    <row r="125" spans="2:13" x14ac:dyDescent="0.25">
      <c r="B125" s="435"/>
      <c r="D125" s="59" t="s">
        <v>605</v>
      </c>
      <c r="M125" s="541"/>
    </row>
    <row r="126" spans="2:13" x14ac:dyDescent="0.25">
      <c r="B126" s="435"/>
      <c r="D126" s="59" t="s">
        <v>606</v>
      </c>
      <c r="M126" s="541"/>
    </row>
    <row r="127" spans="2:13" x14ac:dyDescent="0.25">
      <c r="B127" s="435"/>
      <c r="D127" s="59" t="s">
        <v>607</v>
      </c>
      <c r="M127" s="541"/>
    </row>
    <row r="128" spans="2:13" x14ac:dyDescent="0.25">
      <c r="B128" s="435"/>
      <c r="D128" s="59" t="s">
        <v>608</v>
      </c>
      <c r="M128" s="541"/>
    </row>
    <row r="129" spans="2:13" x14ac:dyDescent="0.25">
      <c r="B129" s="435"/>
      <c r="M129" s="541"/>
    </row>
    <row r="130" spans="2:13" x14ac:dyDescent="0.25">
      <c r="B130" s="435"/>
      <c r="C130" s="59" t="s">
        <v>609</v>
      </c>
      <c r="M130" s="541"/>
    </row>
    <row r="131" spans="2:13" x14ac:dyDescent="0.25">
      <c r="B131" s="435"/>
      <c r="C131" s="59" t="s">
        <v>610</v>
      </c>
      <c r="M131" s="541"/>
    </row>
    <row r="132" spans="2:13" x14ac:dyDescent="0.25">
      <c r="B132" s="435"/>
      <c r="M132" s="541"/>
    </row>
    <row r="133" spans="2:13" x14ac:dyDescent="0.25">
      <c r="B133" s="435"/>
      <c r="C133" s="481" t="s">
        <v>611</v>
      </c>
      <c r="M133" s="541"/>
    </row>
    <row r="134" spans="2:13" x14ac:dyDescent="0.25">
      <c r="B134" s="542"/>
      <c r="C134" s="543"/>
      <c r="D134" s="543"/>
      <c r="E134" s="543"/>
      <c r="F134" s="543"/>
      <c r="G134" s="543"/>
      <c r="H134" s="543"/>
      <c r="I134" s="543"/>
      <c r="J134" s="543"/>
      <c r="K134" s="543"/>
      <c r="L134" s="543"/>
      <c r="M134" s="544"/>
    </row>
    <row r="136" spans="2:13" x14ac:dyDescent="0.25">
      <c r="B136" s="59" t="s">
        <v>612</v>
      </c>
    </row>
    <row r="137" spans="2:13" x14ac:dyDescent="0.25">
      <c r="B137" s="59" t="s">
        <v>613</v>
      </c>
    </row>
    <row r="139" spans="2:13" x14ac:dyDescent="0.25">
      <c r="B139" s="59" t="s">
        <v>614</v>
      </c>
      <c r="C139" s="59"/>
      <c r="D139" s="59"/>
      <c r="E139" s="59"/>
      <c r="F139" s="59"/>
      <c r="G139" s="59"/>
      <c r="H139" s="59"/>
      <c r="I139" s="59"/>
      <c r="J139" s="59"/>
      <c r="K139" s="59"/>
      <c r="L139" s="59"/>
      <c r="M139" s="59"/>
    </row>
    <row r="140" spans="2:13" x14ac:dyDescent="0.25">
      <c r="B140" s="59"/>
      <c r="C140" s="59"/>
      <c r="D140" s="59"/>
      <c r="E140" s="59"/>
      <c r="F140" s="59"/>
      <c r="G140" s="59"/>
      <c r="H140" s="59"/>
      <c r="I140" s="59"/>
      <c r="J140" s="59"/>
      <c r="K140" s="59"/>
      <c r="L140" s="59"/>
      <c r="M140" s="59"/>
    </row>
    <row r="141" spans="2:13" x14ac:dyDescent="0.25">
      <c r="B141" s="59"/>
      <c r="C141" s="481" t="s">
        <v>615</v>
      </c>
      <c r="D141" s="59"/>
      <c r="E141" s="59"/>
      <c r="F141" s="59"/>
      <c r="G141" s="59"/>
      <c r="H141" s="59"/>
      <c r="I141" s="59"/>
      <c r="J141" s="59"/>
      <c r="K141" s="59"/>
      <c r="L141" s="59"/>
      <c r="M141" s="59"/>
    </row>
    <row r="142" spans="2:13" x14ac:dyDescent="0.25">
      <c r="B142" s="59"/>
      <c r="C142" s="59"/>
      <c r="D142" s="59"/>
      <c r="E142" s="59"/>
      <c r="F142" s="59"/>
      <c r="G142" s="59"/>
      <c r="H142" s="59"/>
      <c r="I142" s="59"/>
      <c r="J142" s="59"/>
      <c r="K142" s="59"/>
      <c r="L142" s="59"/>
      <c r="M142" s="59"/>
    </row>
    <row r="143" spans="2:13" x14ac:dyDescent="0.25">
      <c r="B143" s="59"/>
      <c r="C143" s="59"/>
      <c r="D143" s="59" t="s">
        <v>616</v>
      </c>
      <c r="E143" s="59"/>
      <c r="F143" s="59"/>
      <c r="G143" s="59"/>
      <c r="H143" s="59"/>
      <c r="I143" s="59"/>
      <c r="J143" s="59"/>
      <c r="K143" s="59"/>
      <c r="L143" s="59"/>
      <c r="M143" s="59"/>
    </row>
    <row r="144" spans="2:13" x14ac:dyDescent="0.25">
      <c r="B144" s="59"/>
      <c r="C144" s="59"/>
      <c r="D144" s="59"/>
      <c r="E144" s="59"/>
      <c r="F144" s="59"/>
      <c r="G144" s="59"/>
      <c r="H144" s="59"/>
      <c r="I144" s="59"/>
      <c r="J144" s="59"/>
      <c r="K144" s="59"/>
      <c r="L144" s="59"/>
      <c r="M144" s="59"/>
    </row>
    <row r="145" spans="2:15" x14ac:dyDescent="0.25">
      <c r="B145" s="59"/>
      <c r="C145" s="59"/>
      <c r="D145" s="59"/>
      <c r="E145" s="59" t="s">
        <v>617</v>
      </c>
      <c r="F145" s="59"/>
      <c r="G145" s="59"/>
      <c r="H145" s="59"/>
      <c r="I145" s="59"/>
      <c r="J145" s="59"/>
      <c r="K145" s="59"/>
      <c r="L145" s="59"/>
      <c r="M145" s="59"/>
    </row>
    <row r="146" spans="2:15" x14ac:dyDescent="0.25">
      <c r="B146" s="59"/>
      <c r="C146" s="59"/>
      <c r="D146" s="59"/>
      <c r="E146" s="59"/>
      <c r="F146" s="59"/>
      <c r="G146" s="59"/>
      <c r="H146" s="59"/>
      <c r="I146" s="59"/>
      <c r="J146" s="59"/>
      <c r="K146" s="59"/>
      <c r="L146" s="59"/>
      <c r="M146" s="59"/>
    </row>
    <row r="147" spans="2:15" x14ac:dyDescent="0.25">
      <c r="B147" s="59"/>
      <c r="C147" s="59"/>
      <c r="D147" s="59"/>
      <c r="E147" s="59"/>
      <c r="F147" s="59" t="s">
        <v>618</v>
      </c>
      <c r="G147" s="59"/>
      <c r="H147" s="59"/>
      <c r="I147" s="59"/>
      <c r="J147" s="59"/>
      <c r="K147" s="59"/>
      <c r="L147" s="59"/>
      <c r="M147" s="59"/>
    </row>
    <row r="148" spans="2:15" x14ac:dyDescent="0.25">
      <c r="B148" s="59"/>
      <c r="C148" s="59"/>
      <c r="D148" s="59"/>
      <c r="E148" s="59"/>
      <c r="F148" s="59"/>
      <c r="G148" s="59"/>
      <c r="H148" s="59"/>
      <c r="I148" s="59"/>
      <c r="J148" s="59"/>
      <c r="K148" s="59"/>
      <c r="L148" s="59"/>
      <c r="M148" s="59"/>
    </row>
    <row r="149" spans="2:15" x14ac:dyDescent="0.25">
      <c r="G149" s="59" t="s">
        <v>619</v>
      </c>
    </row>
    <row r="150" spans="2:15" x14ac:dyDescent="0.25">
      <c r="G150" s="59" t="s">
        <v>620</v>
      </c>
    </row>
    <row r="151" spans="2:15" x14ac:dyDescent="0.25">
      <c r="G151" s="59" t="s">
        <v>621</v>
      </c>
    </row>
    <row r="152" spans="2:15" x14ac:dyDescent="0.25">
      <c r="G152" s="59" t="s">
        <v>622</v>
      </c>
    </row>
    <row r="153" spans="2:15" x14ac:dyDescent="0.25">
      <c r="G153" s="59" t="s">
        <v>539</v>
      </c>
    </row>
    <row r="155" spans="2:15" x14ac:dyDescent="0.25">
      <c r="D155" s="59" t="s">
        <v>623</v>
      </c>
    </row>
    <row r="157" spans="2:15" x14ac:dyDescent="0.25">
      <c r="D157" s="59" t="s">
        <v>624</v>
      </c>
    </row>
    <row r="158" spans="2:15" x14ac:dyDescent="0.25">
      <c r="D158" s="59"/>
    </row>
    <row r="159" spans="2:15" x14ac:dyDescent="0.25">
      <c r="D159" s="59"/>
      <c r="E159" s="59" t="s">
        <v>625</v>
      </c>
      <c r="F159" s="59"/>
      <c r="G159" s="59"/>
      <c r="H159" s="59"/>
      <c r="I159" s="59"/>
      <c r="J159" s="59"/>
      <c r="K159" s="59"/>
      <c r="L159" s="59"/>
      <c r="M159" s="59"/>
      <c r="N159" s="59"/>
      <c r="O159" s="59"/>
    </row>
    <row r="160" spans="2:15" x14ac:dyDescent="0.25">
      <c r="D160" s="59"/>
      <c r="E160" s="59" t="s">
        <v>626</v>
      </c>
      <c r="G160" s="59"/>
      <c r="H160" s="59"/>
      <c r="I160" s="59"/>
      <c r="J160" s="59"/>
      <c r="K160" s="59"/>
      <c r="L160" s="59"/>
      <c r="M160" s="59"/>
      <c r="N160" s="59"/>
      <c r="O160" s="59"/>
    </row>
    <row r="162" spans="3:8" x14ac:dyDescent="0.25">
      <c r="D162" s="59" t="s">
        <v>627</v>
      </c>
      <c r="H162" s="59"/>
    </row>
    <row r="164" spans="3:8" x14ac:dyDescent="0.25">
      <c r="D164" s="59" t="s">
        <v>628</v>
      </c>
      <c r="E164" s="59"/>
      <c r="F164" s="59"/>
      <c r="G164" s="59"/>
      <c r="H164" s="59"/>
    </row>
    <row r="165" spans="3:8" x14ac:dyDescent="0.25">
      <c r="D165" s="59"/>
      <c r="E165" s="59"/>
      <c r="F165" s="59"/>
      <c r="G165" s="59"/>
      <c r="H165" s="59"/>
    </row>
    <row r="166" spans="3:8" x14ac:dyDescent="0.25">
      <c r="D166" s="59" t="s">
        <v>629</v>
      </c>
      <c r="E166" s="59"/>
      <c r="F166" s="59"/>
      <c r="G166" s="59"/>
      <c r="H166" s="59"/>
    </row>
    <row r="167" spans="3:8" x14ac:dyDescent="0.25">
      <c r="D167" s="59"/>
      <c r="E167" s="59"/>
      <c r="F167" s="59"/>
      <c r="G167" s="59"/>
      <c r="H167" s="59"/>
    </row>
    <row r="168" spans="3:8" x14ac:dyDescent="0.25">
      <c r="D168" s="59"/>
      <c r="E168" s="59"/>
      <c r="F168" s="59" t="s">
        <v>630</v>
      </c>
      <c r="G168" s="59"/>
      <c r="H168" s="59"/>
    </row>
    <row r="169" spans="3:8" x14ac:dyDescent="0.25">
      <c r="D169" s="59"/>
      <c r="E169" s="59"/>
      <c r="F169" s="59" t="s">
        <v>631</v>
      </c>
      <c r="G169" s="59"/>
      <c r="H169" s="59"/>
    </row>
    <row r="170" spans="3:8" x14ac:dyDescent="0.25">
      <c r="D170" s="59"/>
      <c r="E170" s="59"/>
      <c r="F170" s="59"/>
      <c r="G170" s="59" t="s">
        <v>632</v>
      </c>
      <c r="H170" s="59"/>
    </row>
    <row r="171" spans="3:8" x14ac:dyDescent="0.25">
      <c r="D171" s="59"/>
      <c r="E171" s="59"/>
      <c r="F171" s="59" t="s">
        <v>633</v>
      </c>
      <c r="G171" s="59"/>
      <c r="H171" s="59"/>
    </row>
    <row r="172" spans="3:8" x14ac:dyDescent="0.25">
      <c r="D172" s="59"/>
      <c r="E172" s="59"/>
      <c r="F172" s="59" t="s">
        <v>634</v>
      </c>
      <c r="G172" s="59"/>
      <c r="H172" s="59"/>
    </row>
    <row r="173" spans="3:8" x14ac:dyDescent="0.25">
      <c r="D173" s="59"/>
      <c r="E173" s="59"/>
      <c r="F173" s="59" t="s">
        <v>635</v>
      </c>
      <c r="G173" s="59"/>
      <c r="H173" s="59"/>
    </row>
    <row r="175" spans="3:8" x14ac:dyDescent="0.25">
      <c r="C175" s="59" t="s">
        <v>636</v>
      </c>
    </row>
    <row r="177" spans="3:10" x14ac:dyDescent="0.25">
      <c r="E177" s="59" t="s">
        <v>630</v>
      </c>
    </row>
    <row r="178" spans="3:10" x14ac:dyDescent="0.25">
      <c r="E178" t="s">
        <v>637</v>
      </c>
    </row>
    <row r="180" spans="3:10" x14ac:dyDescent="0.25">
      <c r="C180" s="481" t="s">
        <v>638</v>
      </c>
      <c r="D180" s="59"/>
      <c r="E180" s="59"/>
      <c r="F180" s="59"/>
      <c r="G180" s="59"/>
      <c r="H180" s="59"/>
    </row>
    <row r="181" spans="3:10" x14ac:dyDescent="0.25">
      <c r="C181" s="59"/>
      <c r="D181" s="59"/>
      <c r="E181" s="59"/>
      <c r="F181" s="59"/>
      <c r="G181" s="59"/>
      <c r="H181" s="59"/>
    </row>
    <row r="182" spans="3:10" x14ac:dyDescent="0.25">
      <c r="C182" s="59"/>
      <c r="D182" s="59" t="s">
        <v>1046</v>
      </c>
      <c r="E182" s="59"/>
      <c r="F182" s="59"/>
      <c r="G182" s="59"/>
      <c r="H182" s="59"/>
    </row>
    <row r="183" spans="3:10" x14ac:dyDescent="0.25">
      <c r="C183" s="59"/>
      <c r="D183" s="59"/>
      <c r="E183" s="59"/>
      <c r="F183" s="59"/>
      <c r="G183" s="59"/>
      <c r="H183" s="59"/>
    </row>
    <row r="184" spans="3:10" x14ac:dyDescent="0.25">
      <c r="C184" s="59"/>
      <c r="D184" s="59"/>
      <c r="E184" s="59" t="s">
        <v>639</v>
      </c>
      <c r="F184" s="59"/>
      <c r="G184" s="59"/>
      <c r="H184" s="59"/>
    </row>
    <row r="185" spans="3:10" x14ac:dyDescent="0.25">
      <c r="C185" s="59"/>
      <c r="D185" s="59"/>
      <c r="E185" s="59"/>
      <c r="F185" s="59"/>
      <c r="G185" s="59"/>
      <c r="H185" s="59"/>
    </row>
    <row r="186" spans="3:10" x14ac:dyDescent="0.25">
      <c r="D186" s="59" t="s">
        <v>640</v>
      </c>
      <c r="E186" s="59"/>
      <c r="F186" s="59"/>
      <c r="G186" s="59"/>
      <c r="H186" s="59"/>
    </row>
    <row r="187" spans="3:10" x14ac:dyDescent="0.25">
      <c r="D187" s="59"/>
      <c r="E187" s="59"/>
      <c r="F187" s="59"/>
      <c r="G187" s="59"/>
      <c r="H187" s="59"/>
    </row>
    <row r="188" spans="3:10" x14ac:dyDescent="0.25">
      <c r="D188" s="59"/>
      <c r="E188" s="59" t="s">
        <v>641</v>
      </c>
      <c r="F188" s="59"/>
      <c r="G188" s="59"/>
      <c r="H188" s="59"/>
    </row>
    <row r="189" spans="3:10" x14ac:dyDescent="0.25">
      <c r="D189" s="59"/>
      <c r="E189" s="59"/>
      <c r="F189" s="59"/>
      <c r="G189" s="59"/>
      <c r="H189" s="59"/>
    </row>
    <row r="190" spans="3:10" x14ac:dyDescent="0.25">
      <c r="D190" s="59"/>
      <c r="E190" s="59" t="s">
        <v>642</v>
      </c>
      <c r="F190" s="59"/>
      <c r="G190" s="59"/>
      <c r="H190" s="59"/>
    </row>
    <row r="191" spans="3:10" x14ac:dyDescent="0.25">
      <c r="D191" s="59"/>
      <c r="E191" s="59"/>
      <c r="F191" s="59"/>
      <c r="G191" s="59"/>
      <c r="H191" s="59"/>
    </row>
    <row r="192" spans="3:10" x14ac:dyDescent="0.25">
      <c r="D192" s="59"/>
      <c r="E192" s="59" t="s">
        <v>643</v>
      </c>
      <c r="F192" s="59"/>
      <c r="G192" s="59"/>
      <c r="H192" s="59"/>
      <c r="I192" s="59"/>
      <c r="J192" s="59"/>
    </row>
    <row r="193" spans="2:10" x14ac:dyDescent="0.25">
      <c r="D193" s="59"/>
      <c r="E193" s="59"/>
      <c r="F193" s="59"/>
      <c r="G193" s="59"/>
      <c r="H193" s="59"/>
      <c r="I193" s="59"/>
      <c r="J193" s="59"/>
    </row>
    <row r="194" spans="2:10" x14ac:dyDescent="0.25">
      <c r="D194" s="59"/>
      <c r="E194" s="59"/>
      <c r="F194" s="59"/>
      <c r="G194" s="59" t="s">
        <v>462</v>
      </c>
      <c r="H194" s="59"/>
      <c r="I194" s="59"/>
      <c r="J194" s="59"/>
    </row>
    <row r="195" spans="2:10" x14ac:dyDescent="0.25">
      <c r="D195" s="59"/>
      <c r="E195" s="59"/>
      <c r="F195" s="59"/>
      <c r="G195" s="59" t="s">
        <v>644</v>
      </c>
      <c r="H195" s="59"/>
      <c r="I195" s="59"/>
      <c r="J195" s="59"/>
    </row>
    <row r="196" spans="2:10" x14ac:dyDescent="0.25">
      <c r="D196" s="59"/>
      <c r="E196" s="59"/>
      <c r="F196" s="59"/>
      <c r="G196" s="59"/>
      <c r="H196" s="59"/>
      <c r="I196" s="59"/>
      <c r="J196" s="59"/>
    </row>
    <row r="197" spans="2:10" x14ac:dyDescent="0.25">
      <c r="D197" s="59"/>
      <c r="E197" s="59"/>
      <c r="F197" s="59" t="s">
        <v>645</v>
      </c>
      <c r="G197" s="59"/>
      <c r="H197" s="59"/>
      <c r="I197" s="59"/>
      <c r="J197" s="59"/>
    </row>
    <row r="198" spans="2:10" x14ac:dyDescent="0.25">
      <c r="D198" s="59"/>
      <c r="E198" s="59"/>
      <c r="F198" s="59"/>
      <c r="G198" s="59"/>
      <c r="H198" s="59"/>
      <c r="I198" s="59"/>
      <c r="J198" s="59"/>
    </row>
    <row r="199" spans="2:10" x14ac:dyDescent="0.25">
      <c r="D199" s="59" t="s">
        <v>646</v>
      </c>
      <c r="E199" s="59"/>
      <c r="F199" s="59"/>
      <c r="G199" s="59"/>
      <c r="H199" s="59"/>
      <c r="I199" s="59"/>
      <c r="J199" s="59"/>
    </row>
    <row r="200" spans="2:10" x14ac:dyDescent="0.25">
      <c r="D200" s="59"/>
      <c r="E200" s="59"/>
      <c r="F200" s="59"/>
      <c r="G200" s="59"/>
      <c r="H200" s="59"/>
      <c r="I200" s="59"/>
      <c r="J200" s="59"/>
    </row>
    <row r="201" spans="2:10" x14ac:dyDescent="0.25">
      <c r="B201" s="59"/>
      <c r="C201" s="59" t="s">
        <v>647</v>
      </c>
      <c r="D201" s="59"/>
      <c r="E201" s="59"/>
      <c r="F201" s="59"/>
      <c r="G201" s="59"/>
      <c r="H201" s="59"/>
      <c r="I201" s="59"/>
      <c r="J201" s="59"/>
    </row>
    <row r="202" spans="2:10" x14ac:dyDescent="0.25">
      <c r="B202" s="59"/>
      <c r="C202" s="59"/>
      <c r="D202" s="59"/>
      <c r="E202" s="59"/>
    </row>
    <row r="203" spans="2:10" x14ac:dyDescent="0.25">
      <c r="B203" s="59"/>
      <c r="C203" s="59"/>
      <c r="D203" s="59" t="s">
        <v>648</v>
      </c>
      <c r="E203" s="59"/>
    </row>
    <row r="205" spans="2:10" x14ac:dyDescent="0.25">
      <c r="E205" s="59" t="s">
        <v>649</v>
      </c>
      <c r="F205" s="59"/>
    </row>
    <row r="206" spans="2:10" x14ac:dyDescent="0.25">
      <c r="E206" s="59" t="s">
        <v>650</v>
      </c>
    </row>
    <row r="208" spans="2:10" x14ac:dyDescent="0.25">
      <c r="D208" s="59" t="s">
        <v>651</v>
      </c>
      <c r="E208" s="59"/>
      <c r="F208" s="59"/>
      <c r="G208" s="59"/>
      <c r="H208" s="59"/>
      <c r="I208" s="59"/>
    </row>
    <row r="209" spans="3:9" x14ac:dyDescent="0.25">
      <c r="D209" s="59"/>
      <c r="E209" s="59"/>
      <c r="F209" s="59"/>
      <c r="G209" s="59"/>
      <c r="H209" s="59"/>
      <c r="I209" s="59"/>
    </row>
    <row r="210" spans="3:9" x14ac:dyDescent="0.25">
      <c r="D210" s="59" t="s">
        <v>652</v>
      </c>
      <c r="E210" s="59"/>
      <c r="F210" s="59"/>
      <c r="G210" s="59"/>
      <c r="H210" s="59"/>
      <c r="I210" s="59"/>
    </row>
    <row r="211" spans="3:9" x14ac:dyDescent="0.25">
      <c r="D211" s="59"/>
      <c r="E211" s="59"/>
      <c r="F211" s="59"/>
      <c r="G211" s="59"/>
      <c r="H211" s="59"/>
      <c r="I211" s="59"/>
    </row>
    <row r="212" spans="3:9" x14ac:dyDescent="0.25">
      <c r="D212" s="59"/>
      <c r="E212" s="59" t="s">
        <v>653</v>
      </c>
      <c r="F212" s="59"/>
      <c r="G212" s="59"/>
      <c r="H212" s="59"/>
      <c r="I212" s="59"/>
    </row>
    <row r="213" spans="3:9" x14ac:dyDescent="0.25">
      <c r="D213" s="59"/>
      <c r="E213" s="59" t="s">
        <v>654</v>
      </c>
      <c r="F213" s="59"/>
      <c r="G213" s="59"/>
      <c r="H213" s="59"/>
      <c r="I213" s="59"/>
    </row>
    <row r="215" spans="3:9" x14ac:dyDescent="0.25">
      <c r="E215" s="59" t="s">
        <v>655</v>
      </c>
    </row>
    <row r="216" spans="3:9" x14ac:dyDescent="0.25">
      <c r="E216" s="59" t="s">
        <v>656</v>
      </c>
    </row>
    <row r="218" spans="3:9" x14ac:dyDescent="0.25">
      <c r="E218" s="59" t="s">
        <v>657</v>
      </c>
    </row>
    <row r="220" spans="3:9" x14ac:dyDescent="0.25">
      <c r="E220" s="59" t="s">
        <v>658</v>
      </c>
    </row>
    <row r="223" spans="3:9" x14ac:dyDescent="0.25">
      <c r="C223" s="59" t="s">
        <v>659</v>
      </c>
      <c r="D223" s="59"/>
      <c r="E223" s="59"/>
      <c r="F223" s="59"/>
      <c r="G223" s="59"/>
    </row>
    <row r="224" spans="3:9" x14ac:dyDescent="0.25">
      <c r="C224" s="59"/>
      <c r="D224" s="59"/>
      <c r="E224" s="59"/>
      <c r="F224" s="59"/>
      <c r="G224" s="59"/>
    </row>
    <row r="225" spans="2:7" x14ac:dyDescent="0.25">
      <c r="C225" s="59"/>
      <c r="D225" s="59"/>
      <c r="E225" s="59" t="s">
        <v>660</v>
      </c>
      <c r="F225" s="59"/>
      <c r="G225" s="59"/>
    </row>
    <row r="226" spans="2:7" x14ac:dyDescent="0.25">
      <c r="C226" s="59"/>
      <c r="D226" s="59"/>
      <c r="E226" s="59"/>
      <c r="F226" s="59"/>
      <c r="G226" s="59"/>
    </row>
    <row r="227" spans="2:7" x14ac:dyDescent="0.25">
      <c r="C227" s="59"/>
      <c r="D227" s="59"/>
      <c r="E227" s="59" t="s">
        <v>661</v>
      </c>
      <c r="G227" s="59"/>
    </row>
    <row r="228" spans="2:7" x14ac:dyDescent="0.25">
      <c r="C228" s="59"/>
      <c r="D228" s="59"/>
      <c r="E228" s="59" t="s">
        <v>662</v>
      </c>
      <c r="G228" s="59"/>
    </row>
    <row r="229" spans="2:7" x14ac:dyDescent="0.25">
      <c r="C229" s="59"/>
      <c r="D229" s="59"/>
      <c r="E229" s="59" t="s">
        <v>663</v>
      </c>
      <c r="G229" s="59"/>
    </row>
    <row r="230" spans="2:7" x14ac:dyDescent="0.25">
      <c r="E230" s="59" t="s">
        <v>664</v>
      </c>
    </row>
    <row r="232" spans="2:7" x14ac:dyDescent="0.25">
      <c r="B232" s="59" t="s">
        <v>665</v>
      </c>
    </row>
    <row r="233" spans="2:7" x14ac:dyDescent="0.25">
      <c r="B233" s="59" t="s">
        <v>666</v>
      </c>
      <c r="C233" s="59"/>
    </row>
    <row r="234" spans="2:7" x14ac:dyDescent="0.25">
      <c r="C234" s="59"/>
    </row>
    <row r="235" spans="2:7" x14ac:dyDescent="0.25">
      <c r="B235" s="59" t="s">
        <v>667</v>
      </c>
    </row>
    <row r="236" spans="2:7" x14ac:dyDescent="0.25">
      <c r="B236" s="59" t="s">
        <v>668</v>
      </c>
    </row>
    <row r="237" spans="2:7" x14ac:dyDescent="0.25">
      <c r="B237" s="59" t="s">
        <v>669</v>
      </c>
    </row>
    <row r="238" spans="2:7" x14ac:dyDescent="0.25">
      <c r="B238" s="59" t="s">
        <v>670</v>
      </c>
    </row>
    <row r="239" spans="2:7" x14ac:dyDescent="0.25">
      <c r="B239" s="59" t="s">
        <v>671</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8:H48"/>
  <sheetViews>
    <sheetView topLeftCell="A19" workbookViewId="0">
      <selection activeCell="E23" sqref="E23"/>
    </sheetView>
  </sheetViews>
  <sheetFormatPr baseColWidth="10" defaultRowHeight="15" x14ac:dyDescent="0.25"/>
  <cols>
    <col min="2" max="2" width="26.5703125" customWidth="1"/>
    <col min="3" max="3" width="13" bestFit="1" customWidth="1"/>
  </cols>
  <sheetData>
    <row r="18" spans="2:8" s="188" customFormat="1" ht="30" customHeight="1" x14ac:dyDescent="0.25">
      <c r="B18" s="987" t="s">
        <v>1014</v>
      </c>
      <c r="C18" s="987"/>
      <c r="D18" s="987"/>
      <c r="E18" s="987"/>
      <c r="F18" s="218"/>
      <c r="G18" s="218"/>
      <c r="H18" s="218"/>
    </row>
    <row r="19" spans="2:8" s="188" customFormat="1" ht="30" customHeight="1" x14ac:dyDescent="0.25">
      <c r="B19" s="988" t="s">
        <v>1015</v>
      </c>
      <c r="C19" s="988"/>
      <c r="D19" s="988"/>
      <c r="E19" s="988"/>
      <c r="F19" s="218"/>
      <c r="G19" s="218"/>
      <c r="H19" s="218"/>
    </row>
    <row r="20" spans="2:8" s="188" customFormat="1" ht="30" customHeight="1" x14ac:dyDescent="0.25">
      <c r="B20" s="218" t="s">
        <v>1016</v>
      </c>
      <c r="C20" s="218"/>
      <c r="D20" s="218"/>
      <c r="E20" s="809">
        <f>'TABLE DES TAUX 2026 '!C54</f>
        <v>12.02</v>
      </c>
      <c r="F20" s="218"/>
      <c r="G20" s="218"/>
      <c r="H20" s="218"/>
    </row>
    <row r="21" spans="2:8" s="188" customFormat="1" ht="30" customHeight="1" x14ac:dyDescent="0.25">
      <c r="B21" s="218" t="s">
        <v>302</v>
      </c>
      <c r="C21" s="218"/>
      <c r="D21" s="218"/>
      <c r="E21" s="798">
        <f>'BP FORMAT JUILLET 2023'!B9</f>
        <v>40</v>
      </c>
      <c r="F21" s="218"/>
      <c r="G21" s="218"/>
      <c r="H21" s="218"/>
    </row>
    <row r="22" spans="2:8" s="188" customFormat="1" ht="30" customHeight="1" x14ac:dyDescent="0.25">
      <c r="B22" s="218" t="s">
        <v>1017</v>
      </c>
      <c r="C22" s="218"/>
      <c r="D22" s="218"/>
      <c r="E22" s="39">
        <f>+'TABLE DES TAUX 2026 '!C61</f>
        <v>0.37809999999999999</v>
      </c>
      <c r="F22" s="989" t="s">
        <v>775</v>
      </c>
      <c r="G22" s="985"/>
      <c r="H22" s="985"/>
    </row>
    <row r="23" spans="2:8" s="188" customFormat="1" ht="30" customHeight="1" x14ac:dyDescent="0.25">
      <c r="B23" s="218"/>
      <c r="C23" s="218"/>
      <c r="D23" s="218"/>
      <c r="E23" s="39">
        <f>+'TABLE DES TAUX 2026 '!D61</f>
        <v>0.3821</v>
      </c>
      <c r="F23" s="989" t="s">
        <v>1018</v>
      </c>
      <c r="G23" s="985"/>
      <c r="H23" s="985"/>
    </row>
    <row r="24" spans="2:8" s="188" customFormat="1" ht="30" customHeight="1" x14ac:dyDescent="0.25">
      <c r="B24" s="218" t="s">
        <v>13</v>
      </c>
      <c r="C24" s="218"/>
      <c r="D24" s="218"/>
      <c r="E24" s="799">
        <f>'BP FORMAT JUILLET 2023'!B10</f>
        <v>161.66999999999999</v>
      </c>
      <c r="F24" s="218"/>
      <c r="G24" s="218"/>
      <c r="H24" s="218"/>
    </row>
    <row r="25" spans="2:8" s="188" customFormat="1" ht="30" customHeight="1" x14ac:dyDescent="0.25">
      <c r="B25" s="218" t="s">
        <v>1019</v>
      </c>
      <c r="C25" s="218"/>
      <c r="D25" s="218"/>
      <c r="E25" s="800">
        <f>'BP FORMAT JUILLET 2023'!J33</f>
        <v>2273.0700000000002</v>
      </c>
      <c r="F25" s="218"/>
      <c r="G25" s="218"/>
      <c r="H25" s="218"/>
    </row>
    <row r="26" spans="2:8" s="188" customFormat="1" ht="15.75" x14ac:dyDescent="0.25"/>
    <row r="27" spans="2:8" s="188" customFormat="1" ht="15.75" x14ac:dyDescent="0.25"/>
    <row r="28" spans="2:8" s="188" customFormat="1" ht="15.75" x14ac:dyDescent="0.25"/>
    <row r="29" spans="2:8" s="188" customFormat="1" ht="15.75" x14ac:dyDescent="0.25"/>
    <row r="30" spans="2:8" s="188" customFormat="1" ht="15.75" x14ac:dyDescent="0.25"/>
    <row r="31" spans="2:8" s="188" customFormat="1" ht="15.75" x14ac:dyDescent="0.25"/>
    <row r="32" spans="2:8" s="188" customFormat="1" ht="15.75" x14ac:dyDescent="0.25"/>
    <row r="33" spans="1:7" s="188" customFormat="1" ht="15.75" x14ac:dyDescent="0.25"/>
    <row r="34" spans="1:7" s="188" customFormat="1" ht="15.75" x14ac:dyDescent="0.25"/>
    <row r="35" spans="1:7" s="218" customFormat="1" ht="33.75" customHeight="1" x14ac:dyDescent="0.25">
      <c r="A35" s="39" t="s">
        <v>304</v>
      </c>
      <c r="B35" s="39" t="s">
        <v>1020</v>
      </c>
      <c r="C35" s="573">
        <v>0.02</v>
      </c>
    </row>
    <row r="36" spans="1:7" s="218" customFormat="1" ht="33.75" customHeight="1" x14ac:dyDescent="0.25">
      <c r="A36" s="39" t="s">
        <v>268</v>
      </c>
      <c r="B36" s="39" t="s">
        <v>1021</v>
      </c>
      <c r="C36" s="39">
        <f>IF(E21&gt;=50,E23,E22)</f>
        <v>0.37809999999999999</v>
      </c>
      <c r="D36" s="988" t="s">
        <v>1022</v>
      </c>
      <c r="E36" s="988"/>
      <c r="F36" s="988"/>
      <c r="G36" s="988"/>
    </row>
    <row r="37" spans="1:7" s="218" customFormat="1" ht="33.75" customHeight="1" x14ac:dyDescent="0.25">
      <c r="A37" s="39" t="s">
        <v>229</v>
      </c>
      <c r="B37" s="39" t="s">
        <v>1023</v>
      </c>
      <c r="C37" s="39">
        <f>3*E20*E24</f>
        <v>5829.8202000000001</v>
      </c>
    </row>
    <row r="38" spans="1:7" s="218" customFormat="1" ht="33.75" customHeight="1" x14ac:dyDescent="0.25">
      <c r="A38" s="39" t="s">
        <v>269</v>
      </c>
      <c r="B38" s="39" t="s">
        <v>1024</v>
      </c>
      <c r="C38" s="39">
        <f>E25</f>
        <v>2273.0700000000002</v>
      </c>
    </row>
    <row r="39" spans="1:7" s="218" customFormat="1" ht="33.75" customHeight="1" x14ac:dyDescent="0.25">
      <c r="A39" s="39" t="s">
        <v>1025</v>
      </c>
      <c r="B39" s="39" t="s">
        <v>270</v>
      </c>
      <c r="C39" s="39">
        <f>C37/C38</f>
        <v>2.5647341260937848</v>
      </c>
    </row>
    <row r="40" spans="1:7" s="218" customFormat="1" ht="33.75" customHeight="1" x14ac:dyDescent="0.25">
      <c r="A40" s="39" t="s">
        <v>271</v>
      </c>
      <c r="B40" s="39" t="s">
        <v>1026</v>
      </c>
      <c r="C40" s="39">
        <f>IF((C39-1)&lt;0,0,C39-1)</f>
        <v>1.5647341260937848</v>
      </c>
    </row>
    <row r="41" spans="1:7" s="218" customFormat="1" ht="33.75" customHeight="1" x14ac:dyDescent="0.25">
      <c r="A41" s="39" t="s">
        <v>1027</v>
      </c>
      <c r="B41" s="39" t="s">
        <v>272</v>
      </c>
      <c r="C41" s="39">
        <f>C40/2</f>
        <v>0.78236706304689241</v>
      </c>
    </row>
    <row r="42" spans="1:7" s="218" customFormat="1" ht="33.75" customHeight="1" x14ac:dyDescent="0.25">
      <c r="A42" s="39" t="s">
        <v>299</v>
      </c>
      <c r="B42" s="39" t="s">
        <v>1028</v>
      </c>
      <c r="C42" s="39">
        <f>POWER(C41,1.75)</f>
        <v>0.65083137015988846</v>
      </c>
    </row>
    <row r="43" spans="1:7" s="218" customFormat="1" ht="33.75" customHeight="1" x14ac:dyDescent="0.25">
      <c r="A43" s="39" t="s">
        <v>300</v>
      </c>
      <c r="B43" s="39" t="s">
        <v>1029</v>
      </c>
      <c r="C43" s="39">
        <f>IF($E$21&lt;50,$E$22*C42,$E$23*C42)</f>
        <v>0.24607934105745383</v>
      </c>
    </row>
    <row r="44" spans="1:7" s="218" customFormat="1" ht="33.75" customHeight="1" x14ac:dyDescent="0.25">
      <c r="A44" s="39" t="s">
        <v>1030</v>
      </c>
      <c r="B44" s="39" t="s">
        <v>1031</v>
      </c>
      <c r="C44" s="801">
        <f>ROUND(IF((C35+C43)=0.02,0,C35+C43),4)</f>
        <v>0.2661</v>
      </c>
      <c r="D44" s="1234" t="s">
        <v>1099</v>
      </c>
      <c r="E44" s="1234"/>
      <c r="F44" s="1234"/>
      <c r="G44" s="1234"/>
    </row>
    <row r="45" spans="1:7" s="218" customFormat="1" ht="33.75" customHeight="1" x14ac:dyDescent="0.25">
      <c r="A45" s="39" t="s">
        <v>1032</v>
      </c>
      <c r="B45" s="39" t="s">
        <v>1033</v>
      </c>
      <c r="C45" s="808">
        <f>ROUND((C44*E25),2)</f>
        <v>604.86</v>
      </c>
      <c r="D45" s="986" t="s">
        <v>1034</v>
      </c>
      <c r="E45" s="986"/>
      <c r="F45" s="986"/>
      <c r="G45" s="986"/>
    </row>
    <row r="46" spans="1:7" s="188" customFormat="1" ht="15.75" x14ac:dyDescent="0.25"/>
    <row r="47" spans="1:7" s="28" customFormat="1" ht="15.75" x14ac:dyDescent="0.25"/>
    <row r="48" spans="1:7" s="28" customFormat="1" ht="15.75" x14ac:dyDescent="0.25"/>
  </sheetData>
  <mergeCells count="7">
    <mergeCell ref="D44:G44"/>
    <mergeCell ref="D45:G45"/>
    <mergeCell ref="B18:E18"/>
    <mergeCell ref="B19:E19"/>
    <mergeCell ref="F22:H22"/>
    <mergeCell ref="F23:H23"/>
    <mergeCell ref="D36:G36"/>
  </mergeCells>
  <pageMargins left="0.70866141732283472" right="0.70866141732283472" top="0.74803149606299213" bottom="0.74803149606299213" header="0.31496062992125984" footer="0.31496062992125984"/>
  <pageSetup paperSize="9" scale="8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A38" zoomScale="110" zoomScaleNormal="110" workbookViewId="0">
      <selection activeCell="A50" sqref="A50:XFD50"/>
    </sheetView>
  </sheetViews>
  <sheetFormatPr baseColWidth="10" defaultRowHeight="15" x14ac:dyDescent="0.25"/>
  <cols>
    <col min="2" max="2" width="25.5703125" customWidth="1"/>
    <col min="3" max="3" width="22" customWidth="1"/>
    <col min="5" max="5" width="18.85546875" bestFit="1" customWidth="1"/>
  </cols>
  <sheetData>
    <row r="1" spans="2:9" x14ac:dyDescent="0.25">
      <c r="B1" s="59" t="s">
        <v>487</v>
      </c>
    </row>
    <row r="2" spans="2:9" x14ac:dyDescent="0.25">
      <c r="B2" s="59"/>
    </row>
    <row r="3" spans="2:9" s="59" customFormat="1" x14ac:dyDescent="0.25"/>
    <row r="4" spans="2:9" s="59" customFormat="1" x14ac:dyDescent="0.25">
      <c r="B4" s="1049" t="s">
        <v>488</v>
      </c>
      <c r="E4" s="59" t="s">
        <v>493</v>
      </c>
    </row>
    <row r="5" spans="2:9" s="59" customFormat="1" x14ac:dyDescent="0.25">
      <c r="B5" s="1049"/>
      <c r="D5" s="488"/>
      <c r="E5" s="59" t="s">
        <v>494</v>
      </c>
    </row>
    <row r="6" spans="2:9" s="59" customFormat="1" x14ac:dyDescent="0.25"/>
    <row r="7" spans="2:9" s="59" customFormat="1" x14ac:dyDescent="0.25"/>
    <row r="8" spans="2:9" s="59" customFormat="1" x14ac:dyDescent="0.25">
      <c r="B8" s="1043" t="s">
        <v>463</v>
      </c>
      <c r="D8" s="1042" t="s">
        <v>465</v>
      </c>
      <c r="E8" s="1042"/>
      <c r="F8" s="1042"/>
      <c r="G8" s="499">
        <f>'BP VERSION JANVIER 2023'!J33</f>
        <v>2273.0700000000002</v>
      </c>
    </row>
    <row r="9" spans="2:9" s="59" customFormat="1" ht="25.5" customHeight="1" x14ac:dyDescent="0.25">
      <c r="B9" s="1043"/>
      <c r="D9" s="495" t="s">
        <v>466</v>
      </c>
      <c r="E9" s="379"/>
      <c r="F9" s="379"/>
      <c r="G9" s="499">
        <f>-'BP VERSION JANVIER 2023'!F73</f>
        <v>-486.23000000000008</v>
      </c>
    </row>
    <row r="10" spans="2:9" s="59" customFormat="1" ht="15" customHeight="1" x14ac:dyDescent="0.25">
      <c r="B10" s="1043"/>
      <c r="D10" s="890" t="s">
        <v>483</v>
      </c>
      <c r="E10" s="1044"/>
      <c r="F10" s="891"/>
      <c r="G10" s="499">
        <f>-'BP VERSION JANVIER 2023'!F74</f>
        <v>-132</v>
      </c>
    </row>
    <row r="11" spans="2:9" s="59" customFormat="1" ht="15" customHeight="1" x14ac:dyDescent="0.25">
      <c r="B11" s="1043"/>
      <c r="D11" s="890" t="s">
        <v>56</v>
      </c>
      <c r="E11" s="1044"/>
      <c r="F11" s="891"/>
      <c r="G11" s="499">
        <f>'BP VERSION JANVIER 2023'!F75</f>
        <v>45.4</v>
      </c>
      <c r="I11" s="59" t="s">
        <v>495</v>
      </c>
    </row>
    <row r="12" spans="2:9" s="59" customFormat="1" ht="25.5" customHeight="1" x14ac:dyDescent="0.25">
      <c r="B12" s="1043"/>
      <c r="D12" s="890" t="s">
        <v>484</v>
      </c>
      <c r="E12" s="1044"/>
      <c r="F12" s="891"/>
      <c r="G12" s="499"/>
    </row>
    <row r="13" spans="2:9" s="59" customFormat="1" x14ac:dyDescent="0.25">
      <c r="B13" s="1043"/>
      <c r="D13" s="1045" t="s">
        <v>467</v>
      </c>
      <c r="E13" s="1046"/>
      <c r="F13" s="1047"/>
      <c r="G13" s="501">
        <f>'BP VERSION JANVIER 2023'!F77</f>
        <v>0</v>
      </c>
    </row>
    <row r="14" spans="2:9" s="59" customFormat="1" x14ac:dyDescent="0.25">
      <c r="B14" s="1043"/>
      <c r="G14" s="489">
        <f>SUM(G8:G13)</f>
        <v>1700.2400000000002</v>
      </c>
      <c r="H14" s="499">
        <f>'BP VERSION JANVIER 2023'!J78</f>
        <v>1700.2400000000002</v>
      </c>
      <c r="I14" s="499">
        <f>'BP FORMAT JUILLET 2023'!J86</f>
        <v>1700.2400000000002</v>
      </c>
    </row>
    <row r="15" spans="2:9" s="59" customFormat="1" x14ac:dyDescent="0.25">
      <c r="B15" s="494"/>
    </row>
    <row r="16" spans="2:9" s="59" customFormat="1" x14ac:dyDescent="0.25"/>
    <row r="17" spans="2:10" s="59" customFormat="1" x14ac:dyDescent="0.25">
      <c r="B17" s="1043" t="s">
        <v>65</v>
      </c>
      <c r="D17" s="1042" t="s">
        <v>465</v>
      </c>
      <c r="E17" s="1042"/>
      <c r="F17" s="1042"/>
      <c r="G17" s="499">
        <f>'BP VERSION JANVIER 2023'!J33</f>
        <v>2273.0700000000002</v>
      </c>
    </row>
    <row r="18" spans="2:10" s="59" customFormat="1" x14ac:dyDescent="0.25">
      <c r="B18" s="1043"/>
      <c r="D18" s="1003" t="s">
        <v>466</v>
      </c>
      <c r="E18" s="1003"/>
      <c r="F18" s="1003"/>
      <c r="G18" s="499">
        <f>-'BP VERSION JANVIER 2023'!F73</f>
        <v>-486.23000000000008</v>
      </c>
    </row>
    <row r="19" spans="2:10" s="59" customFormat="1" x14ac:dyDescent="0.25">
      <c r="B19" s="1043"/>
      <c r="D19" s="1042" t="s">
        <v>468</v>
      </c>
      <c r="E19" s="1042"/>
      <c r="F19" s="1042"/>
      <c r="G19" s="499">
        <f>'BP VERSION JANVIER 2023'!G38</f>
        <v>45.46</v>
      </c>
    </row>
    <row r="20" spans="2:10" s="59" customFormat="1" x14ac:dyDescent="0.25">
      <c r="B20" s="1043"/>
      <c r="D20" s="1042" t="s">
        <v>994</v>
      </c>
      <c r="E20" s="1042"/>
      <c r="F20" s="1042"/>
      <c r="G20" s="499">
        <f>-'HEURES SUPPLEMENTAIRES '!D131</f>
        <v>-173.07</v>
      </c>
    </row>
    <row r="21" spans="2:10" s="59" customFormat="1" x14ac:dyDescent="0.25">
      <c r="B21" s="1043"/>
      <c r="D21" s="1042" t="s">
        <v>469</v>
      </c>
      <c r="E21" s="1042"/>
      <c r="F21" s="1042"/>
      <c r="G21" s="499">
        <f>'BP VERSION JANVIER 2023'!F67+'BP VERSION JANVIER 2023'!F68+'BP VERSION JANVIER 2023'!F70</f>
        <v>78.960000000000008</v>
      </c>
    </row>
    <row r="22" spans="2:10" s="59" customFormat="1" x14ac:dyDescent="0.25">
      <c r="B22" s="1043"/>
      <c r="G22" s="489">
        <f>SUM(G17:G21)</f>
        <v>1738.1900000000003</v>
      </c>
      <c r="H22" s="499">
        <f>'BP VERSION JANVIER 2023'!J86</f>
        <v>1738.1899999999996</v>
      </c>
      <c r="I22" s="499">
        <f>'BP FORMAT JUILLET 2023'!J87</f>
        <v>1738.1899999999996</v>
      </c>
      <c r="J22" s="447">
        <f>G22-H22</f>
        <v>0</v>
      </c>
    </row>
    <row r="23" spans="2:10" s="59" customFormat="1" x14ac:dyDescent="0.25">
      <c r="B23" s="494"/>
      <c r="G23" s="447"/>
    </row>
    <row r="24" spans="2:10" s="59" customFormat="1" x14ac:dyDescent="0.25"/>
    <row r="25" spans="2:10" s="59" customFormat="1" x14ac:dyDescent="0.25">
      <c r="B25" s="1050" t="s">
        <v>470</v>
      </c>
      <c r="D25" s="1042" t="s">
        <v>65</v>
      </c>
      <c r="E25" s="1042"/>
      <c r="F25" s="1042"/>
      <c r="G25" s="489">
        <f>'BP VERSION JANVIER 2023'!J86</f>
        <v>1738.1899999999996</v>
      </c>
    </row>
    <row r="26" spans="2:10" s="59" customFormat="1" x14ac:dyDescent="0.25">
      <c r="B26" s="1050"/>
      <c r="D26" s="1042" t="s">
        <v>485</v>
      </c>
      <c r="E26" s="1042"/>
      <c r="F26" s="1042"/>
      <c r="G26" s="496"/>
    </row>
    <row r="27" spans="2:10" s="59" customFormat="1" x14ac:dyDescent="0.25">
      <c r="B27" s="1050"/>
      <c r="D27" s="1048" t="s">
        <v>486</v>
      </c>
      <c r="E27" s="1048"/>
      <c r="F27" s="1048"/>
      <c r="G27" s="496"/>
    </row>
    <row r="28" spans="2:10" s="59" customFormat="1" x14ac:dyDescent="0.25">
      <c r="B28" s="1050"/>
      <c r="G28" s="489">
        <f>SUM(G25:G27)</f>
        <v>1738.1899999999996</v>
      </c>
      <c r="H28" s="499">
        <f>'BP VERSION JANVIER 2023'!D83</f>
        <v>1738.1899999999996</v>
      </c>
      <c r="I28" s="499">
        <f>'BP FORMAT JUILLET 2023'!D91</f>
        <v>1738.1899999999996</v>
      </c>
    </row>
    <row r="29" spans="2:10" s="59" customFormat="1" x14ac:dyDescent="0.25"/>
    <row r="30" spans="2:10" s="59" customFormat="1" x14ac:dyDescent="0.25">
      <c r="B30" s="1043" t="s">
        <v>471</v>
      </c>
    </row>
    <row r="31" spans="2:10" s="59" customFormat="1" x14ac:dyDescent="0.25">
      <c r="B31" s="1043"/>
      <c r="D31" s="1042" t="s">
        <v>468</v>
      </c>
      <c r="E31" s="1042"/>
      <c r="F31" s="1042"/>
      <c r="G31" s="499">
        <f>'BP VERSION JANVIER 2023'!G38</f>
        <v>45.46</v>
      </c>
    </row>
    <row r="32" spans="2:10" s="59" customFormat="1" x14ac:dyDescent="0.25">
      <c r="B32" s="1043"/>
      <c r="D32" s="1042" t="s">
        <v>472</v>
      </c>
      <c r="E32" s="1042"/>
      <c r="F32" s="1042"/>
      <c r="G32" s="499"/>
    </row>
    <row r="33" spans="2:9" s="59" customFormat="1" x14ac:dyDescent="0.25">
      <c r="B33" s="1043"/>
      <c r="D33" s="1042" t="s">
        <v>473</v>
      </c>
      <c r="E33" s="1042"/>
      <c r="F33" s="1042"/>
      <c r="G33" s="499">
        <f>'BP VERSION JANVIER 2023'!G41</f>
        <v>45.46</v>
      </c>
    </row>
    <row r="34" spans="2:9" s="59" customFormat="1" x14ac:dyDescent="0.25">
      <c r="G34" s="489">
        <f>SUM(G31:G33)</f>
        <v>90.92</v>
      </c>
      <c r="H34" s="496">
        <f>'BP VERSION JANVIER 2023'!C112</f>
        <v>90.92</v>
      </c>
      <c r="I34" s="496">
        <f>'BP FORMAT JUILLET 2023'!C128</f>
        <v>90.92</v>
      </c>
    </row>
    <row r="35" spans="2:9" s="59" customFormat="1" x14ac:dyDescent="0.25">
      <c r="G35" s="447"/>
      <c r="H35" s="446"/>
      <c r="I35" s="446"/>
    </row>
    <row r="36" spans="2:9" s="59" customFormat="1" x14ac:dyDescent="0.25">
      <c r="B36" s="1043" t="s">
        <v>474</v>
      </c>
      <c r="D36" s="1042" t="s">
        <v>475</v>
      </c>
      <c r="E36" s="1042"/>
      <c r="F36" s="1042"/>
      <c r="G36" s="502">
        <f>0.9825*('BP VERSION JANVIER 2023'!J33-'BP FORMAT JUILLET 2023'!J21)</f>
        <v>2063.25</v>
      </c>
    </row>
    <row r="37" spans="2:9" s="59" customFormat="1" x14ac:dyDescent="0.25">
      <c r="B37" s="1043"/>
      <c r="D37" s="1042" t="s">
        <v>476</v>
      </c>
      <c r="E37" s="1042"/>
      <c r="F37" s="1042"/>
      <c r="G37" s="502">
        <f>G31+G32</f>
        <v>45.46</v>
      </c>
    </row>
    <row r="38" spans="2:9" s="59" customFormat="1" x14ac:dyDescent="0.25">
      <c r="B38" s="1043"/>
      <c r="D38" s="1042" t="s">
        <v>496</v>
      </c>
      <c r="E38" s="1042"/>
      <c r="F38" s="1042"/>
      <c r="G38" s="502">
        <f>G33</f>
        <v>45.46</v>
      </c>
    </row>
    <row r="39" spans="2:9" s="59" customFormat="1" x14ac:dyDescent="0.25">
      <c r="B39" s="1043"/>
      <c r="G39" s="490">
        <f>SUM(G36:G38)</f>
        <v>2154.17</v>
      </c>
      <c r="H39" s="499">
        <f>'BP VERSION JANVIER 2023'!C66</f>
        <v>2154.17</v>
      </c>
      <c r="I39" s="499">
        <f>'BP FORMAT JUILLET 2023'!C66</f>
        <v>2154.17</v>
      </c>
    </row>
    <row r="40" spans="2:9" s="59" customFormat="1" x14ac:dyDescent="0.25"/>
    <row r="41" spans="2:9" x14ac:dyDescent="0.25">
      <c r="B41" s="59"/>
      <c r="C41" s="379" t="s">
        <v>477</v>
      </c>
      <c r="D41" s="59"/>
      <c r="E41" s="379" t="s">
        <v>478</v>
      </c>
      <c r="F41" s="59"/>
      <c r="G41" s="305" t="s">
        <v>479</v>
      </c>
    </row>
    <row r="42" spans="2:9" s="59" customFormat="1" x14ac:dyDescent="0.25">
      <c r="B42" s="59" t="s">
        <v>463</v>
      </c>
      <c r="C42" s="489">
        <f>H14</f>
        <v>1700.2400000000002</v>
      </c>
      <c r="E42" s="489">
        <f>I14</f>
        <v>1700.2400000000002</v>
      </c>
      <c r="G42" s="489">
        <f>C42-E42</f>
        <v>0</v>
      </c>
    </row>
    <row r="43" spans="2:9" s="59" customFormat="1" x14ac:dyDescent="0.25">
      <c r="B43" s="59" t="s">
        <v>65</v>
      </c>
      <c r="C43" s="489">
        <f>G22</f>
        <v>1738.1900000000003</v>
      </c>
      <c r="E43" s="489">
        <f>I22</f>
        <v>1738.1899999999996</v>
      </c>
      <c r="G43" s="489">
        <f t="shared" ref="G43:G49" si="0">C43-E43</f>
        <v>0</v>
      </c>
    </row>
    <row r="44" spans="2:9" s="59" customFormat="1" x14ac:dyDescent="0.25">
      <c r="B44" s="59" t="s">
        <v>470</v>
      </c>
      <c r="C44" s="489">
        <f>G28</f>
        <v>1738.1899999999996</v>
      </c>
      <c r="E44" s="490">
        <f>I28</f>
        <v>1738.1899999999996</v>
      </c>
      <c r="G44" s="489">
        <f t="shared" si="0"/>
        <v>0</v>
      </c>
    </row>
    <row r="45" spans="2:9" s="59" customFormat="1" x14ac:dyDescent="0.25">
      <c r="B45" s="59" t="s">
        <v>489</v>
      </c>
      <c r="C45" s="489">
        <f>H34</f>
        <v>90.92</v>
      </c>
      <c r="E45" s="480">
        <f>I34</f>
        <v>90.92</v>
      </c>
      <c r="G45" s="489">
        <f t="shared" si="0"/>
        <v>0</v>
      </c>
    </row>
    <row r="46" spans="2:9" s="59" customFormat="1" x14ac:dyDescent="0.25">
      <c r="B46" s="59" t="s">
        <v>480</v>
      </c>
      <c r="C46" s="496">
        <f>'BP VERSION JANVIER 2023'!F73</f>
        <v>486.23000000000008</v>
      </c>
      <c r="E46" s="499">
        <f>'BP FORMAT JUILLET 2023'!F73+'BP FORMAT JUILLET 2023'!F76</f>
        <v>486.23000000000008</v>
      </c>
      <c r="G46" s="489">
        <f t="shared" si="0"/>
        <v>0</v>
      </c>
    </row>
    <row r="47" spans="2:9" x14ac:dyDescent="0.25">
      <c r="B47" s="59" t="s">
        <v>481</v>
      </c>
      <c r="C47" s="497">
        <f>'BP VERSION JANVIER 2023'!G73</f>
        <v>470.35</v>
      </c>
      <c r="E47" s="497">
        <f>'BP FORMAT JUILLET 2023'!G73+'BP FORMAT JUILLET 2023'!G76</f>
        <v>470.35000000000019</v>
      </c>
      <c r="G47" s="489">
        <f t="shared" si="0"/>
        <v>0</v>
      </c>
    </row>
    <row r="48" spans="2:9" x14ac:dyDescent="0.25">
      <c r="B48" s="59" t="s">
        <v>490</v>
      </c>
      <c r="C48" s="500">
        <f>H39</f>
        <v>2154.17</v>
      </c>
      <c r="E48" s="500">
        <f>I39</f>
        <v>2154.17</v>
      </c>
      <c r="G48" s="489">
        <f t="shared" si="0"/>
        <v>0</v>
      </c>
    </row>
    <row r="49" spans="2:7" x14ac:dyDescent="0.25">
      <c r="B49" s="59" t="s">
        <v>482</v>
      </c>
      <c r="C49" s="497">
        <f>'BP VERSION JANVIER 2023'!G71</f>
        <v>-609.86</v>
      </c>
      <c r="E49" s="498">
        <f>'BP FORMAT JUILLET 2023'!G71</f>
        <v>-609.86</v>
      </c>
      <c r="G49" s="489">
        <f t="shared" si="0"/>
        <v>0</v>
      </c>
    </row>
    <row r="52" spans="2:7" x14ac:dyDescent="0.25">
      <c r="B52" s="59" t="s">
        <v>491</v>
      </c>
    </row>
    <row r="53" spans="2:7" x14ac:dyDescent="0.25">
      <c r="B53" s="59" t="s">
        <v>492</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50"/>
  <sheetViews>
    <sheetView tabSelected="1" topLeftCell="A139" zoomScale="125" zoomScaleNormal="130" workbookViewId="0">
      <selection activeCell="B149" sqref="B149"/>
    </sheetView>
  </sheetViews>
  <sheetFormatPr baseColWidth="10" defaultRowHeight="15" x14ac:dyDescent="0.25"/>
  <cols>
    <col min="1" max="1" width="14.85546875" customWidth="1"/>
    <col min="2" max="2" width="13.28515625" customWidth="1"/>
    <col min="3" max="3" width="12.5703125" customWidth="1"/>
    <col min="4" max="4" width="16.140625" style="53"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121</v>
      </c>
    </row>
    <row r="2" spans="1:16" s="66" customFormat="1" ht="26.25" hidden="1" customHeight="1" x14ac:dyDescent="0.2">
      <c r="A2" s="71" t="s">
        <v>91</v>
      </c>
      <c r="B2" s="71" t="s">
        <v>122</v>
      </c>
      <c r="C2" s="71" t="s">
        <v>123</v>
      </c>
      <c r="D2" s="71" t="s">
        <v>124</v>
      </c>
      <c r="E2" s="71" t="s">
        <v>125</v>
      </c>
      <c r="F2" s="71"/>
      <c r="G2" s="71"/>
      <c r="H2" s="71"/>
      <c r="I2" s="71"/>
      <c r="J2" s="71"/>
      <c r="K2" s="71" t="s">
        <v>126</v>
      </c>
      <c r="L2" s="71" t="s">
        <v>127</v>
      </c>
      <c r="M2" s="71" t="s">
        <v>128</v>
      </c>
      <c r="N2" s="71" t="s">
        <v>129</v>
      </c>
      <c r="O2" s="71" t="s">
        <v>130</v>
      </c>
      <c r="P2" s="71" t="s">
        <v>131</v>
      </c>
    </row>
    <row r="3" spans="1:16" s="59" customFormat="1" ht="20.25" hidden="1" customHeight="1" x14ac:dyDescent="0.25">
      <c r="A3" s="67" t="s">
        <v>110</v>
      </c>
      <c r="B3" s="72">
        <f>'[4]SUIVI RETRAITE '!B7</f>
        <v>4910.7999999999993</v>
      </c>
      <c r="C3" s="73">
        <f>'[4]SUIVI RETRAITE '!C7</f>
        <v>3428</v>
      </c>
      <c r="D3" s="74">
        <f>C3</f>
        <v>3428</v>
      </c>
      <c r="E3" s="74">
        <f>B3</f>
        <v>4910.7999999999993</v>
      </c>
      <c r="F3" s="74"/>
      <c r="G3" s="74"/>
      <c r="H3" s="74"/>
      <c r="I3" s="74"/>
      <c r="J3" s="74"/>
      <c r="K3" s="74">
        <f t="shared" ref="K3:K14" si="0">MIN(D3,E3)</f>
        <v>3428</v>
      </c>
      <c r="L3" s="74">
        <f>K3</f>
        <v>3428</v>
      </c>
      <c r="M3" s="74">
        <f>IF(E3&gt;D3,IF((E3-D3)&gt;3*D3,3*D3,E3-D3),0)</f>
        <v>1482.7999999999993</v>
      </c>
      <c r="N3" s="74">
        <f>M3</f>
        <v>1482.7999999999993</v>
      </c>
      <c r="O3" s="74">
        <f>IF(E3&gt;8*D3,7*D3,IF(E3&lt;D3,0,E3-D3))</f>
        <v>1482.7999999999993</v>
      </c>
      <c r="P3" s="74">
        <f>O3</f>
        <v>1482.7999999999993</v>
      </c>
    </row>
    <row r="4" spans="1:16" s="59" customFormat="1" ht="20.25" hidden="1" customHeight="1" x14ac:dyDescent="0.25">
      <c r="A4" s="67" t="s">
        <v>132</v>
      </c>
      <c r="B4" s="72">
        <f>'[4]SUIVI RETRAITE '!B8</f>
        <v>0</v>
      </c>
      <c r="C4" s="73">
        <f>'[4]SUIVI RETRAITE '!C8</f>
        <v>0</v>
      </c>
      <c r="D4" s="74">
        <f>D3+C4</f>
        <v>3428</v>
      </c>
      <c r="E4" s="74">
        <f>E3+B4</f>
        <v>4910.7999999999993</v>
      </c>
      <c r="F4" s="74"/>
      <c r="G4" s="74"/>
      <c r="H4" s="74"/>
      <c r="I4" s="74"/>
      <c r="J4" s="74"/>
      <c r="K4" s="74">
        <f t="shared" si="0"/>
        <v>3428</v>
      </c>
      <c r="L4" s="74">
        <f t="shared" ref="L4:L14" si="1">K4-K3</f>
        <v>0</v>
      </c>
      <c r="M4" s="74">
        <f t="shared" ref="M4:M14" si="2">IF(E4&gt;D4,IF((E4-D4)&gt;3*D4,3*D4,E4-D4),0)</f>
        <v>1482.7999999999993</v>
      </c>
      <c r="N4" s="74">
        <f t="shared" ref="N4:N14" si="3">M4-M3</f>
        <v>0</v>
      </c>
      <c r="O4" s="74">
        <f>IF(E4&gt;8*D4,7*D4,IF(E4&lt;D4,0,E4-D4))</f>
        <v>1482.7999999999993</v>
      </c>
      <c r="P4" s="74">
        <f t="shared" ref="P4:P14" si="4">O4-O3</f>
        <v>0</v>
      </c>
    </row>
    <row r="5" spans="1:16" s="59" customFormat="1" ht="20.25" hidden="1" customHeight="1" x14ac:dyDescent="0.25">
      <c r="A5" s="67" t="s">
        <v>111</v>
      </c>
      <c r="B5" s="72" t="e">
        <f>'[4]SUIVI RETRAITE '!B9</f>
        <v>#DIV/0!</v>
      </c>
      <c r="C5" s="73">
        <f>'[4]SUIVI RETRAITE '!C9</f>
        <v>0</v>
      </c>
      <c r="D5" s="74">
        <f>D4+C5</f>
        <v>3428</v>
      </c>
      <c r="E5" s="74" t="e">
        <f>E4+B5</f>
        <v>#DIV/0!</v>
      </c>
      <c r="F5" s="74"/>
      <c r="G5" s="74"/>
      <c r="H5" s="74"/>
      <c r="I5" s="74"/>
      <c r="J5" s="74"/>
      <c r="K5" s="74" t="e">
        <f t="shared" si="0"/>
        <v>#DIV/0!</v>
      </c>
      <c r="L5" s="74" t="e">
        <f t="shared" si="1"/>
        <v>#DIV/0!</v>
      </c>
      <c r="M5" s="74" t="e">
        <f t="shared" si="2"/>
        <v>#DIV/0!</v>
      </c>
      <c r="N5" s="74" t="e">
        <f t="shared" si="3"/>
        <v>#DIV/0!</v>
      </c>
      <c r="O5" s="74" t="e">
        <f t="shared" ref="O5:O14" si="5">IF(E5&gt;8*D5,7*D5,IF(E5&lt;D5,0,E5-D5))</f>
        <v>#DIV/0!</v>
      </c>
      <c r="P5" s="74" t="e">
        <f t="shared" si="4"/>
        <v>#DIV/0!</v>
      </c>
    </row>
    <row r="6" spans="1:16" s="59" customFormat="1" ht="20.25" hidden="1" customHeight="1" x14ac:dyDescent="0.25">
      <c r="A6" s="67" t="s">
        <v>133</v>
      </c>
      <c r="B6" s="72" t="e">
        <f>'[4]SUIVI RETRAITE '!B10</f>
        <v>#DIV/0!</v>
      </c>
      <c r="C6" s="73">
        <f>'[4]SUIVI RETRAITE '!C10</f>
        <v>0</v>
      </c>
      <c r="D6" s="74">
        <f>D5+C6</f>
        <v>3428</v>
      </c>
      <c r="E6" s="74" t="e">
        <f>E5+B6</f>
        <v>#DIV/0!</v>
      </c>
      <c r="F6" s="74"/>
      <c r="G6" s="74"/>
      <c r="H6" s="74"/>
      <c r="I6" s="74"/>
      <c r="J6" s="74"/>
      <c r="K6" s="74" t="e">
        <f t="shared" si="0"/>
        <v>#DIV/0!</v>
      </c>
      <c r="L6" s="74" t="e">
        <f t="shared" si="1"/>
        <v>#DIV/0!</v>
      </c>
      <c r="M6" s="74" t="e">
        <f t="shared" si="2"/>
        <v>#DIV/0!</v>
      </c>
      <c r="N6" s="74" t="e">
        <f t="shared" si="3"/>
        <v>#DIV/0!</v>
      </c>
      <c r="O6" s="74" t="e">
        <f t="shared" si="5"/>
        <v>#DIV/0!</v>
      </c>
      <c r="P6" s="74" t="e">
        <f t="shared" si="4"/>
        <v>#DIV/0!</v>
      </c>
    </row>
    <row r="7" spans="1:16" s="59" customFormat="1" ht="20.25" hidden="1" customHeight="1" x14ac:dyDescent="0.25">
      <c r="A7" s="67" t="s">
        <v>114</v>
      </c>
      <c r="B7" s="72" t="e">
        <f>'[4]SUIVI RETRAITE '!B11</f>
        <v>#DIV/0!</v>
      </c>
      <c r="C7" s="73">
        <f>'[4]SUIVI RETRAITE '!C11</f>
        <v>0</v>
      </c>
      <c r="D7" s="74">
        <f t="shared" ref="D7:D14" si="6">D6+C7</f>
        <v>3428</v>
      </c>
      <c r="E7" s="74" t="e">
        <f t="shared" ref="E7:E14" si="7">E6+B7</f>
        <v>#DIV/0!</v>
      </c>
      <c r="F7" s="74"/>
      <c r="G7" s="74"/>
      <c r="H7" s="74"/>
      <c r="I7" s="74"/>
      <c r="J7" s="74"/>
      <c r="K7" s="74" t="e">
        <f t="shared" si="0"/>
        <v>#DIV/0!</v>
      </c>
      <c r="L7" s="74" t="e">
        <f t="shared" si="1"/>
        <v>#DIV/0!</v>
      </c>
      <c r="M7" s="74" t="e">
        <f t="shared" si="2"/>
        <v>#DIV/0!</v>
      </c>
      <c r="N7" s="74" t="e">
        <f t="shared" si="3"/>
        <v>#DIV/0!</v>
      </c>
      <c r="O7" s="74" t="e">
        <f t="shared" si="5"/>
        <v>#DIV/0!</v>
      </c>
      <c r="P7" s="74" t="e">
        <f t="shared" si="4"/>
        <v>#DIV/0!</v>
      </c>
    </row>
    <row r="8" spans="1:16" s="59" customFormat="1" ht="20.25" hidden="1" customHeight="1" x14ac:dyDescent="0.25">
      <c r="A8" s="67" t="s">
        <v>112</v>
      </c>
      <c r="B8" s="72" t="e">
        <f>'[4]SUIVI RETRAITE '!B12</f>
        <v>#DIV/0!</v>
      </c>
      <c r="C8" s="73">
        <f>'[4]SUIVI RETRAITE '!C12</f>
        <v>0</v>
      </c>
      <c r="D8" s="73">
        <f t="shared" si="6"/>
        <v>3428</v>
      </c>
      <c r="E8" s="73" t="e">
        <f t="shared" si="7"/>
        <v>#DIV/0!</v>
      </c>
      <c r="F8" s="73"/>
      <c r="G8" s="73"/>
      <c r="H8" s="73"/>
      <c r="I8" s="73"/>
      <c r="J8" s="73"/>
      <c r="K8" s="74" t="e">
        <f t="shared" si="0"/>
        <v>#DIV/0!</v>
      </c>
      <c r="L8" s="74" t="e">
        <f t="shared" si="1"/>
        <v>#DIV/0!</v>
      </c>
      <c r="M8" s="74" t="e">
        <f t="shared" si="2"/>
        <v>#DIV/0!</v>
      </c>
      <c r="N8" s="74" t="e">
        <f t="shared" si="3"/>
        <v>#DIV/0!</v>
      </c>
      <c r="O8" s="74" t="e">
        <f t="shared" si="5"/>
        <v>#DIV/0!</v>
      </c>
      <c r="P8" s="74" t="e">
        <f t="shared" si="4"/>
        <v>#DIV/0!</v>
      </c>
    </row>
    <row r="9" spans="1:16" s="59" customFormat="1" ht="20.25" hidden="1" customHeight="1" x14ac:dyDescent="0.25">
      <c r="A9" s="67" t="s">
        <v>115</v>
      </c>
      <c r="B9" s="72" t="e">
        <f>'[4]SUIVI RETRAITE '!B13</f>
        <v>#DIV/0!</v>
      </c>
      <c r="C9" s="73">
        <f>'[4]SUIVI RETRAITE '!C13</f>
        <v>0</v>
      </c>
      <c r="D9" s="73">
        <f t="shared" si="6"/>
        <v>3428</v>
      </c>
      <c r="E9" s="73" t="e">
        <f t="shared" si="7"/>
        <v>#DIV/0!</v>
      </c>
      <c r="F9" s="73"/>
      <c r="G9" s="73"/>
      <c r="H9" s="73"/>
      <c r="I9" s="73"/>
      <c r="J9" s="73"/>
      <c r="K9" s="74" t="e">
        <f t="shared" si="0"/>
        <v>#DIV/0!</v>
      </c>
      <c r="L9" s="74" t="e">
        <f t="shared" si="1"/>
        <v>#DIV/0!</v>
      </c>
      <c r="M9" s="74" t="e">
        <f t="shared" si="2"/>
        <v>#DIV/0!</v>
      </c>
      <c r="N9" s="74" t="e">
        <f t="shared" si="3"/>
        <v>#DIV/0!</v>
      </c>
      <c r="O9" s="74" t="e">
        <f t="shared" si="5"/>
        <v>#DIV/0!</v>
      </c>
      <c r="P9" s="74" t="e">
        <f t="shared" si="4"/>
        <v>#DIV/0!</v>
      </c>
    </row>
    <row r="10" spans="1:16" s="59" customFormat="1" ht="20.25" hidden="1" customHeight="1" x14ac:dyDescent="0.25">
      <c r="A10" s="67" t="s">
        <v>116</v>
      </c>
      <c r="B10" s="72" t="e">
        <f>'[4]SUIVI RETRAITE '!B14</f>
        <v>#DIV/0!</v>
      </c>
      <c r="C10" s="73">
        <f>'[4]SUIVI RETRAITE '!C14</f>
        <v>0</v>
      </c>
      <c r="D10" s="73">
        <f t="shared" si="6"/>
        <v>3428</v>
      </c>
      <c r="E10" s="73" t="e">
        <f t="shared" si="7"/>
        <v>#DIV/0!</v>
      </c>
      <c r="F10" s="73"/>
      <c r="G10" s="73"/>
      <c r="H10" s="73"/>
      <c r="I10" s="73"/>
      <c r="J10" s="73"/>
      <c r="K10" s="74" t="e">
        <f t="shared" si="0"/>
        <v>#DIV/0!</v>
      </c>
      <c r="L10" s="74" t="e">
        <f t="shared" si="1"/>
        <v>#DIV/0!</v>
      </c>
      <c r="M10" s="74" t="e">
        <f t="shared" si="2"/>
        <v>#DIV/0!</v>
      </c>
      <c r="N10" s="74" t="e">
        <f t="shared" si="3"/>
        <v>#DIV/0!</v>
      </c>
      <c r="O10" s="74" t="e">
        <f t="shared" si="5"/>
        <v>#DIV/0!</v>
      </c>
      <c r="P10" s="74" t="e">
        <f t="shared" si="4"/>
        <v>#DIV/0!</v>
      </c>
    </row>
    <row r="11" spans="1:16" s="59" customFormat="1" ht="20.25" hidden="1" customHeight="1" x14ac:dyDescent="0.25">
      <c r="A11" s="67" t="s">
        <v>117</v>
      </c>
      <c r="B11" s="72" t="e">
        <f>'[4]SUIVI RETRAITE '!B15</f>
        <v>#DIV/0!</v>
      </c>
      <c r="C11" s="73">
        <f>'[4]SUIVI RETRAITE '!C15</f>
        <v>0</v>
      </c>
      <c r="D11" s="73">
        <f t="shared" si="6"/>
        <v>3428</v>
      </c>
      <c r="E11" s="73" t="e">
        <f t="shared" si="7"/>
        <v>#DIV/0!</v>
      </c>
      <c r="F11" s="73"/>
      <c r="G11" s="73"/>
      <c r="H11" s="73"/>
      <c r="I11" s="73"/>
      <c r="J11" s="73"/>
      <c r="K11" s="74" t="e">
        <f t="shared" si="0"/>
        <v>#DIV/0!</v>
      </c>
      <c r="L11" s="74" t="e">
        <f t="shared" si="1"/>
        <v>#DIV/0!</v>
      </c>
      <c r="M11" s="74" t="e">
        <f t="shared" si="2"/>
        <v>#DIV/0!</v>
      </c>
      <c r="N11" s="74" t="e">
        <f t="shared" si="3"/>
        <v>#DIV/0!</v>
      </c>
      <c r="O11" s="74" t="e">
        <f t="shared" si="5"/>
        <v>#DIV/0!</v>
      </c>
      <c r="P11" s="74" t="e">
        <f t="shared" si="4"/>
        <v>#DIV/0!</v>
      </c>
    </row>
    <row r="12" spans="1:16" s="59" customFormat="1" ht="20.25" hidden="1" customHeight="1" x14ac:dyDescent="0.25">
      <c r="A12" s="67" t="s">
        <v>113</v>
      </c>
      <c r="B12" s="72" t="e">
        <f>'[4]SUIVI RETRAITE '!B16</f>
        <v>#DIV/0!</v>
      </c>
      <c r="C12" s="73">
        <f>'[4]SUIVI RETRAITE '!C16</f>
        <v>0</v>
      </c>
      <c r="D12" s="73">
        <f t="shared" si="6"/>
        <v>3428</v>
      </c>
      <c r="E12" s="73" t="e">
        <f t="shared" si="7"/>
        <v>#DIV/0!</v>
      </c>
      <c r="F12" s="73"/>
      <c r="G12" s="73"/>
      <c r="H12" s="73"/>
      <c r="I12" s="73"/>
      <c r="J12" s="73"/>
      <c r="K12" s="74" t="e">
        <f t="shared" si="0"/>
        <v>#DIV/0!</v>
      </c>
      <c r="L12" s="74" t="e">
        <f t="shared" si="1"/>
        <v>#DIV/0!</v>
      </c>
      <c r="M12" s="74" t="e">
        <f t="shared" si="2"/>
        <v>#DIV/0!</v>
      </c>
      <c r="N12" s="74" t="e">
        <f t="shared" si="3"/>
        <v>#DIV/0!</v>
      </c>
      <c r="O12" s="74" t="e">
        <f t="shared" si="5"/>
        <v>#DIV/0!</v>
      </c>
      <c r="P12" s="74" t="e">
        <f t="shared" si="4"/>
        <v>#DIV/0!</v>
      </c>
    </row>
    <row r="13" spans="1:16" s="59" customFormat="1" ht="20.25" hidden="1" customHeight="1" x14ac:dyDescent="0.25">
      <c r="A13" s="67" t="s">
        <v>118</v>
      </c>
      <c r="B13" s="72" t="e">
        <f>'[4]SUIVI RETRAITE '!B17</f>
        <v>#DIV/0!</v>
      </c>
      <c r="C13" s="73">
        <f>'[4]SUIVI RETRAITE '!C17</f>
        <v>0</v>
      </c>
      <c r="D13" s="73">
        <f t="shared" si="6"/>
        <v>3428</v>
      </c>
      <c r="E13" s="73" t="e">
        <f t="shared" si="7"/>
        <v>#DIV/0!</v>
      </c>
      <c r="F13" s="73"/>
      <c r="G13" s="73"/>
      <c r="H13" s="73"/>
      <c r="I13" s="73"/>
      <c r="J13" s="73"/>
      <c r="K13" s="74" t="e">
        <f t="shared" si="0"/>
        <v>#DIV/0!</v>
      </c>
      <c r="L13" s="74" t="e">
        <f t="shared" si="1"/>
        <v>#DIV/0!</v>
      </c>
      <c r="M13" s="74" t="e">
        <f t="shared" si="2"/>
        <v>#DIV/0!</v>
      </c>
      <c r="N13" s="74" t="e">
        <f t="shared" si="3"/>
        <v>#DIV/0!</v>
      </c>
      <c r="O13" s="74" t="e">
        <f t="shared" si="5"/>
        <v>#DIV/0!</v>
      </c>
      <c r="P13" s="74" t="e">
        <f t="shared" si="4"/>
        <v>#DIV/0!</v>
      </c>
    </row>
    <row r="14" spans="1:16" s="59" customFormat="1" ht="20.25" hidden="1" customHeight="1" x14ac:dyDescent="0.25">
      <c r="A14" s="67" t="s">
        <v>119</v>
      </c>
      <c r="B14" s="72" t="e">
        <f>'[4]SUIVI RETRAITE '!B18</f>
        <v>#DIV/0!</v>
      </c>
      <c r="C14" s="73">
        <f>'[4]SUIVI RETRAITE '!C18</f>
        <v>0</v>
      </c>
      <c r="D14" s="73">
        <f t="shared" si="6"/>
        <v>3428</v>
      </c>
      <c r="E14" s="73" t="e">
        <f t="shared" si="7"/>
        <v>#DIV/0!</v>
      </c>
      <c r="F14" s="73"/>
      <c r="G14" s="73"/>
      <c r="H14" s="73"/>
      <c r="I14" s="73"/>
      <c r="J14" s="73"/>
      <c r="K14" s="74" t="e">
        <f t="shared" si="0"/>
        <v>#DIV/0!</v>
      </c>
      <c r="L14" s="74" t="e">
        <f t="shared" si="1"/>
        <v>#DIV/0!</v>
      </c>
      <c r="M14" s="74" t="e">
        <f t="shared" si="2"/>
        <v>#DIV/0!</v>
      </c>
      <c r="N14" s="74" t="e">
        <f t="shared" si="3"/>
        <v>#DIV/0!</v>
      </c>
      <c r="O14" s="74" t="e">
        <f t="shared" si="5"/>
        <v>#DIV/0!</v>
      </c>
      <c r="P14" s="74" t="e">
        <f t="shared" si="4"/>
        <v>#DIV/0!</v>
      </c>
    </row>
    <row r="15" spans="1:16" s="59" customFormat="1" ht="20.25" hidden="1" customHeight="1" x14ac:dyDescent="0.25">
      <c r="B15" s="75" t="e">
        <f>'[4]SUIVI RETRAITE '!B19</f>
        <v>#DIV/0!</v>
      </c>
      <c r="C15" s="76">
        <f>'[4]SUIVI RETRAITE '!C19</f>
        <v>0</v>
      </c>
      <c r="D15" s="61"/>
    </row>
    <row r="16" spans="1:16" ht="20.25" hidden="1" customHeight="1" x14ac:dyDescent="0.25"/>
    <row r="17" spans="1:18" ht="20.25" hidden="1" customHeight="1" x14ac:dyDescent="0.25"/>
    <row r="18" spans="1:18" ht="20.25" hidden="1" customHeight="1" x14ac:dyDescent="0.25">
      <c r="A18" t="s">
        <v>134</v>
      </c>
    </row>
    <row r="19" spans="1:18" s="59" customFormat="1" ht="20.25" hidden="1" customHeight="1" x14ac:dyDescent="0.25">
      <c r="A19" s="1049" t="s">
        <v>135</v>
      </c>
      <c r="B19" s="1049"/>
      <c r="C19" s="1049"/>
      <c r="D19" s="1049"/>
      <c r="E19" s="1049"/>
      <c r="F19" s="1049"/>
      <c r="G19" s="1049"/>
      <c r="H19" s="1049"/>
      <c r="I19" s="1049"/>
      <c r="J19" s="1049"/>
      <c r="K19" s="1049"/>
      <c r="L19" s="1049"/>
      <c r="M19" s="1049"/>
      <c r="N19" s="1062"/>
      <c r="O19" s="1062"/>
      <c r="P19" s="1062"/>
      <c r="Q19" s="1062"/>
    </row>
    <row r="20" spans="1:18" s="59" customFormat="1" ht="12.75" customHeight="1" x14ac:dyDescent="0.25">
      <c r="A20" s="63"/>
      <c r="B20" s="182"/>
      <c r="C20" s="182"/>
      <c r="D20" s="182"/>
      <c r="E20" s="182"/>
      <c r="F20" s="182"/>
      <c r="G20" s="182"/>
      <c r="H20" s="182"/>
      <c r="I20" s="182"/>
      <c r="J20" s="63"/>
      <c r="K20" s="63"/>
      <c r="L20" s="63"/>
      <c r="M20" s="63"/>
      <c r="N20" s="181"/>
      <c r="O20" s="181"/>
      <c r="P20" s="181"/>
      <c r="Q20" s="181"/>
    </row>
    <row r="21" spans="1:18" s="59" customFormat="1" ht="25.5" customHeight="1" x14ac:dyDescent="0.25">
      <c r="B21" s="1058" t="s">
        <v>202</v>
      </c>
      <c r="C21" s="1058"/>
      <c r="D21" s="1058"/>
      <c r="E21" s="1058"/>
      <c r="F21" s="1058"/>
      <c r="G21" s="1058"/>
      <c r="H21" s="1058"/>
      <c r="I21" s="1058"/>
      <c r="J21" s="77"/>
      <c r="N21" s="1063"/>
      <c r="O21" s="1063"/>
      <c r="P21" s="1063"/>
      <c r="Q21" s="1063"/>
    </row>
    <row r="22" spans="1:18" s="59" customFormat="1" ht="20.25" hidden="1" customHeight="1" x14ac:dyDescent="0.25">
      <c r="A22" s="78" t="s">
        <v>136</v>
      </c>
      <c r="B22" s="78" t="s">
        <v>137</v>
      </c>
      <c r="C22" s="78" t="s">
        <v>138</v>
      </c>
      <c r="D22" s="78" t="s">
        <v>139</v>
      </c>
      <c r="E22" s="78" t="s">
        <v>140</v>
      </c>
      <c r="F22" s="78"/>
      <c r="G22" s="78"/>
      <c r="H22" s="78"/>
      <c r="I22" s="78"/>
      <c r="J22" s="78"/>
      <c r="K22" s="78" t="s">
        <v>141</v>
      </c>
      <c r="L22" s="78" t="s">
        <v>142</v>
      </c>
      <c r="M22" s="78" t="s">
        <v>143</v>
      </c>
      <c r="N22" s="78" t="s">
        <v>144</v>
      </c>
    </row>
    <row r="23" spans="1:18" s="80" customFormat="1" ht="20.25" hidden="1" customHeight="1" x14ac:dyDescent="0.2">
      <c r="A23" s="79" t="s">
        <v>91</v>
      </c>
      <c r="B23" s="79" t="s">
        <v>122</v>
      </c>
      <c r="C23" s="79" t="s">
        <v>123</v>
      </c>
      <c r="D23" s="79" t="s">
        <v>124</v>
      </c>
      <c r="E23" s="79" t="s">
        <v>125</v>
      </c>
      <c r="F23" s="79"/>
      <c r="G23" s="79"/>
      <c r="H23" s="79"/>
      <c r="I23" s="79"/>
      <c r="J23" s="79"/>
      <c r="K23" s="79" t="s">
        <v>145</v>
      </c>
      <c r="L23" s="79" t="s">
        <v>146</v>
      </c>
      <c r="M23" s="79" t="s">
        <v>130</v>
      </c>
      <c r="N23" s="79" t="s">
        <v>131</v>
      </c>
      <c r="R23" s="81"/>
    </row>
    <row r="24" spans="1:18" s="59" customFormat="1" ht="20.25" hidden="1" customHeight="1" x14ac:dyDescent="0.25">
      <c r="A24" s="82" t="s">
        <v>110</v>
      </c>
      <c r="B24" s="83">
        <f>'[4]SUIVI RETRAITE '!B7</f>
        <v>4910.7999999999993</v>
      </c>
      <c r="C24" s="84">
        <f>'[4]SUIVI RETRAITE '!C7</f>
        <v>3428</v>
      </c>
      <c r="D24" s="84">
        <f>C24</f>
        <v>3428</v>
      </c>
      <c r="E24" s="84">
        <f>B24</f>
        <v>4910.7999999999993</v>
      </c>
      <c r="F24" s="84"/>
      <c r="G24" s="84"/>
      <c r="H24" s="84"/>
      <c r="I24" s="84"/>
      <c r="J24" s="84"/>
      <c r="K24" s="85">
        <f>IF(E24&lt;D24,0,MIN(E24,D24))</f>
        <v>3428</v>
      </c>
      <c r="L24" s="84">
        <f>K24</f>
        <v>3428</v>
      </c>
      <c r="M24" s="85">
        <f>IF(E24&gt;8*D24,7*D24,IF(E24&lt;D24,0,E24-D24))</f>
        <v>1482.7999999999993</v>
      </c>
      <c r="N24" s="84">
        <f>M24</f>
        <v>1482.7999999999993</v>
      </c>
      <c r="R24" s="86"/>
    </row>
    <row r="25" spans="1:18" s="59" customFormat="1" ht="20.25" hidden="1" customHeight="1" x14ac:dyDescent="0.25">
      <c r="A25" s="82" t="s">
        <v>132</v>
      </c>
      <c r="B25" s="83">
        <f>'[4]SUIVI RETRAITE '!B8</f>
        <v>0</v>
      </c>
      <c r="C25" s="84">
        <f>'[4]SUIVI RETRAITE '!C8</f>
        <v>0</v>
      </c>
      <c r="D25" s="84">
        <f>D24+C25</f>
        <v>3428</v>
      </c>
      <c r="E25" s="84">
        <f>E24+B25</f>
        <v>4910.7999999999993</v>
      </c>
      <c r="F25" s="84"/>
      <c r="G25" s="84"/>
      <c r="H25" s="84"/>
      <c r="I25" s="84"/>
      <c r="J25" s="84"/>
      <c r="K25" s="84">
        <f t="shared" ref="K25:K35" si="8">IF(E25&lt;D25,0,MIN(E25,D25))</f>
        <v>3428</v>
      </c>
      <c r="L25" s="84">
        <f>K25-K24</f>
        <v>0</v>
      </c>
      <c r="M25" s="85">
        <f>IF(E25&gt;8*D25,7*D25,IF(E25&lt;D25,0,E25-D25))</f>
        <v>1482.7999999999993</v>
      </c>
      <c r="N25" s="84">
        <f>M25-M24</f>
        <v>0</v>
      </c>
      <c r="R25" s="86"/>
    </row>
    <row r="26" spans="1:18" s="59" customFormat="1" ht="20.25" hidden="1" customHeight="1" x14ac:dyDescent="0.25">
      <c r="A26" s="82" t="s">
        <v>111</v>
      </c>
      <c r="B26" s="83" t="e">
        <f>'[4]SUIVI RETRAITE '!B9</f>
        <v>#DIV/0!</v>
      </c>
      <c r="C26" s="84">
        <f>'[4]SUIVI RETRAITE '!C9</f>
        <v>0</v>
      </c>
      <c r="D26" s="84">
        <f>D25+C26</f>
        <v>3428</v>
      </c>
      <c r="E26" s="84" t="e">
        <f>E25+B26</f>
        <v>#DIV/0!</v>
      </c>
      <c r="F26" s="84"/>
      <c r="G26" s="84"/>
      <c r="H26" s="84"/>
      <c r="I26" s="84"/>
      <c r="J26" s="84"/>
      <c r="K26" s="84" t="e">
        <f t="shared" si="8"/>
        <v>#DIV/0!</v>
      </c>
      <c r="L26" s="84" t="e">
        <f>K26-K25</f>
        <v>#DIV/0!</v>
      </c>
      <c r="M26" s="85" t="e">
        <f t="shared" ref="M26:M35" si="9">IF(E26&gt;8*D26,7*D26,IF(E26&lt;D26,0,E26-D26))</f>
        <v>#DIV/0!</v>
      </c>
      <c r="N26" s="84" t="e">
        <f t="shared" ref="N26:N35" si="10">M26-M25</f>
        <v>#DIV/0!</v>
      </c>
      <c r="R26" s="86"/>
    </row>
    <row r="27" spans="1:18" s="59" customFormat="1" ht="20.25" hidden="1" customHeight="1" x14ac:dyDescent="0.25">
      <c r="A27" s="82" t="s">
        <v>133</v>
      </c>
      <c r="B27" s="83" t="e">
        <f>'[4]SUIVI RETRAITE '!B10</f>
        <v>#DIV/0!</v>
      </c>
      <c r="C27" s="84">
        <f>'[4]SUIVI RETRAITE '!C10</f>
        <v>0</v>
      </c>
      <c r="D27" s="84">
        <f>D26+C27</f>
        <v>3428</v>
      </c>
      <c r="E27" s="84" t="e">
        <f>E26+B27</f>
        <v>#DIV/0!</v>
      </c>
      <c r="F27" s="84"/>
      <c r="G27" s="84"/>
      <c r="H27" s="84"/>
      <c r="I27" s="84"/>
      <c r="J27" s="84"/>
      <c r="K27" s="84" t="e">
        <f t="shared" si="8"/>
        <v>#DIV/0!</v>
      </c>
      <c r="L27" s="84" t="e">
        <f t="shared" ref="L27:L35" si="11">K27-K26</f>
        <v>#DIV/0!</v>
      </c>
      <c r="M27" s="85" t="e">
        <f t="shared" si="9"/>
        <v>#DIV/0!</v>
      </c>
      <c r="N27" s="84" t="e">
        <f t="shared" si="10"/>
        <v>#DIV/0!</v>
      </c>
      <c r="R27" s="86"/>
    </row>
    <row r="28" spans="1:18" s="59" customFormat="1" ht="20.25" hidden="1" customHeight="1" x14ac:dyDescent="0.25">
      <c r="A28" s="82" t="s">
        <v>114</v>
      </c>
      <c r="B28" s="83" t="e">
        <f>'[4]SUIVI RETRAITE '!B11</f>
        <v>#DIV/0!</v>
      </c>
      <c r="C28" s="84">
        <f>'[4]SUIVI RETRAITE '!C11</f>
        <v>0</v>
      </c>
      <c r="D28" s="84">
        <f t="shared" ref="D28:D35" si="12">D27+C28</f>
        <v>3428</v>
      </c>
      <c r="E28" s="84" t="e">
        <f t="shared" ref="E28:E35" si="13">E27+B28</f>
        <v>#DIV/0!</v>
      </c>
      <c r="F28" s="84"/>
      <c r="G28" s="84"/>
      <c r="H28" s="84"/>
      <c r="I28" s="84"/>
      <c r="J28" s="84"/>
      <c r="K28" s="84" t="e">
        <f t="shared" si="8"/>
        <v>#DIV/0!</v>
      </c>
      <c r="L28" s="84" t="e">
        <f t="shared" si="11"/>
        <v>#DIV/0!</v>
      </c>
      <c r="M28" s="85" t="e">
        <f t="shared" si="9"/>
        <v>#DIV/0!</v>
      </c>
      <c r="N28" s="84" t="e">
        <f t="shared" si="10"/>
        <v>#DIV/0!</v>
      </c>
      <c r="R28" s="86"/>
    </row>
    <row r="29" spans="1:18" s="59" customFormat="1" ht="20.25" hidden="1" customHeight="1" x14ac:dyDescent="0.25">
      <c r="A29" s="82" t="s">
        <v>112</v>
      </c>
      <c r="B29" s="83" t="e">
        <f>'[4]SUIVI RETRAITE '!B12</f>
        <v>#DIV/0!</v>
      </c>
      <c r="C29" s="84">
        <f>'[4]SUIVI RETRAITE '!C12</f>
        <v>0</v>
      </c>
      <c r="D29" s="87">
        <f t="shared" si="12"/>
        <v>3428</v>
      </c>
      <c r="E29" s="87" t="e">
        <f t="shared" si="13"/>
        <v>#DIV/0!</v>
      </c>
      <c r="F29" s="87"/>
      <c r="G29" s="87"/>
      <c r="H29" s="87"/>
      <c r="I29" s="87"/>
      <c r="J29" s="87"/>
      <c r="K29" s="84" t="e">
        <f t="shared" si="8"/>
        <v>#DIV/0!</v>
      </c>
      <c r="L29" s="84" t="e">
        <f t="shared" si="11"/>
        <v>#DIV/0!</v>
      </c>
      <c r="M29" s="85" t="e">
        <f t="shared" si="9"/>
        <v>#DIV/0!</v>
      </c>
      <c r="N29" s="84" t="e">
        <f t="shared" si="10"/>
        <v>#DIV/0!</v>
      </c>
      <c r="R29" s="86"/>
    </row>
    <row r="30" spans="1:18" s="59" customFormat="1" ht="20.25" hidden="1" customHeight="1" x14ac:dyDescent="0.25">
      <c r="A30" s="82" t="s">
        <v>115</v>
      </c>
      <c r="B30" s="83" t="e">
        <f>'[4]SUIVI RETRAITE '!B13</f>
        <v>#DIV/0!</v>
      </c>
      <c r="C30" s="84">
        <f>'[4]SUIVI RETRAITE '!C13</f>
        <v>0</v>
      </c>
      <c r="D30" s="87">
        <f t="shared" si="12"/>
        <v>3428</v>
      </c>
      <c r="E30" s="87" t="e">
        <f t="shared" si="13"/>
        <v>#DIV/0!</v>
      </c>
      <c r="F30" s="87"/>
      <c r="G30" s="87"/>
      <c r="H30" s="87"/>
      <c r="I30" s="87"/>
      <c r="J30" s="87"/>
      <c r="K30" s="84" t="e">
        <f t="shared" si="8"/>
        <v>#DIV/0!</v>
      </c>
      <c r="L30" s="84" t="e">
        <f t="shared" si="11"/>
        <v>#DIV/0!</v>
      </c>
      <c r="M30" s="85" t="e">
        <f t="shared" si="9"/>
        <v>#DIV/0!</v>
      </c>
      <c r="N30" s="84" t="e">
        <f t="shared" si="10"/>
        <v>#DIV/0!</v>
      </c>
    </row>
    <row r="31" spans="1:18" s="59" customFormat="1" ht="20.25" hidden="1" customHeight="1" x14ac:dyDescent="0.25">
      <c r="A31" s="82" t="s">
        <v>116</v>
      </c>
      <c r="B31" s="83" t="e">
        <f>'[4]SUIVI RETRAITE '!B14</f>
        <v>#DIV/0!</v>
      </c>
      <c r="C31" s="84">
        <f>'[4]SUIVI RETRAITE '!C14</f>
        <v>0</v>
      </c>
      <c r="D31" s="87">
        <f t="shared" si="12"/>
        <v>3428</v>
      </c>
      <c r="E31" s="87" t="e">
        <f t="shared" si="13"/>
        <v>#DIV/0!</v>
      </c>
      <c r="F31" s="87"/>
      <c r="G31" s="87"/>
      <c r="H31" s="87"/>
      <c r="I31" s="87"/>
      <c r="J31" s="87"/>
      <c r="K31" s="84" t="e">
        <f t="shared" si="8"/>
        <v>#DIV/0!</v>
      </c>
      <c r="L31" s="84" t="e">
        <f t="shared" si="11"/>
        <v>#DIV/0!</v>
      </c>
      <c r="M31" s="85" t="e">
        <f t="shared" si="9"/>
        <v>#DIV/0!</v>
      </c>
      <c r="N31" s="84" t="e">
        <f t="shared" si="10"/>
        <v>#DIV/0!</v>
      </c>
    </row>
    <row r="32" spans="1:18" s="59" customFormat="1" ht="20.25" hidden="1" customHeight="1" x14ac:dyDescent="0.25">
      <c r="A32" s="82" t="s">
        <v>117</v>
      </c>
      <c r="B32" s="83" t="e">
        <f>'[4]SUIVI RETRAITE '!B15</f>
        <v>#DIV/0!</v>
      </c>
      <c r="C32" s="84">
        <f>'[4]SUIVI RETRAITE '!C15</f>
        <v>0</v>
      </c>
      <c r="D32" s="87">
        <f t="shared" si="12"/>
        <v>3428</v>
      </c>
      <c r="E32" s="87" t="e">
        <f t="shared" si="13"/>
        <v>#DIV/0!</v>
      </c>
      <c r="F32" s="87"/>
      <c r="G32" s="87"/>
      <c r="H32" s="87"/>
      <c r="I32" s="87"/>
      <c r="J32" s="87"/>
      <c r="K32" s="84" t="e">
        <f t="shared" si="8"/>
        <v>#DIV/0!</v>
      </c>
      <c r="L32" s="84" t="e">
        <f t="shared" si="11"/>
        <v>#DIV/0!</v>
      </c>
      <c r="M32" s="85" t="e">
        <f t="shared" si="9"/>
        <v>#DIV/0!</v>
      </c>
      <c r="N32" s="84" t="e">
        <f t="shared" si="10"/>
        <v>#DIV/0!</v>
      </c>
      <c r="R32" s="88"/>
    </row>
    <row r="33" spans="1:33" s="59" customFormat="1" ht="20.25" hidden="1" customHeight="1" x14ac:dyDescent="0.25">
      <c r="A33" s="82" t="s">
        <v>113</v>
      </c>
      <c r="B33" s="83" t="e">
        <f>'[4]SUIVI RETRAITE '!B16</f>
        <v>#DIV/0!</v>
      </c>
      <c r="C33" s="84">
        <f>'[4]SUIVI RETRAITE '!C16</f>
        <v>0</v>
      </c>
      <c r="D33" s="87">
        <f t="shared" si="12"/>
        <v>3428</v>
      </c>
      <c r="E33" s="87" t="e">
        <f t="shared" si="13"/>
        <v>#DIV/0!</v>
      </c>
      <c r="F33" s="87"/>
      <c r="G33" s="87"/>
      <c r="H33" s="87"/>
      <c r="I33" s="87"/>
      <c r="J33" s="87"/>
      <c r="K33" s="84" t="e">
        <f t="shared" si="8"/>
        <v>#DIV/0!</v>
      </c>
      <c r="L33" s="84" t="e">
        <f t="shared" si="11"/>
        <v>#DIV/0!</v>
      </c>
      <c r="M33" s="85" t="e">
        <f t="shared" si="9"/>
        <v>#DIV/0!</v>
      </c>
      <c r="N33" s="84" t="e">
        <f t="shared" si="10"/>
        <v>#DIV/0!</v>
      </c>
      <c r="R33" s="86"/>
    </row>
    <row r="34" spans="1:33" s="59" customFormat="1" ht="20.25" hidden="1" customHeight="1" x14ac:dyDescent="0.25">
      <c r="A34" s="82" t="s">
        <v>118</v>
      </c>
      <c r="B34" s="83" t="e">
        <f>'[4]SUIVI RETRAITE '!B17</f>
        <v>#DIV/0!</v>
      </c>
      <c r="C34" s="84">
        <f>'[4]SUIVI RETRAITE '!C17</f>
        <v>0</v>
      </c>
      <c r="D34" s="87">
        <f t="shared" si="12"/>
        <v>3428</v>
      </c>
      <c r="E34" s="87" t="e">
        <f t="shared" si="13"/>
        <v>#DIV/0!</v>
      </c>
      <c r="F34" s="87"/>
      <c r="G34" s="87"/>
      <c r="H34" s="87"/>
      <c r="I34" s="87"/>
      <c r="J34" s="87"/>
      <c r="K34" s="84" t="e">
        <f t="shared" si="8"/>
        <v>#DIV/0!</v>
      </c>
      <c r="L34" s="84" t="e">
        <f t="shared" si="11"/>
        <v>#DIV/0!</v>
      </c>
      <c r="M34" s="85" t="e">
        <f t="shared" si="9"/>
        <v>#DIV/0!</v>
      </c>
      <c r="N34" s="84" t="e">
        <f t="shared" si="10"/>
        <v>#DIV/0!</v>
      </c>
      <c r="R34" s="86"/>
    </row>
    <row r="35" spans="1:33" s="59" customFormat="1" ht="20.25" hidden="1" customHeight="1" x14ac:dyDescent="0.25">
      <c r="A35" s="82" t="s">
        <v>119</v>
      </c>
      <c r="B35" s="83" t="e">
        <f>'[4]SUIVI RETRAITE '!B18</f>
        <v>#DIV/0!</v>
      </c>
      <c r="C35" s="84">
        <f>'[4]SUIVI RETRAITE '!C18</f>
        <v>0</v>
      </c>
      <c r="D35" s="87">
        <f t="shared" si="12"/>
        <v>3428</v>
      </c>
      <c r="E35" s="87" t="e">
        <f t="shared" si="13"/>
        <v>#DIV/0!</v>
      </c>
      <c r="F35" s="87"/>
      <c r="G35" s="87"/>
      <c r="H35" s="87"/>
      <c r="I35" s="87"/>
      <c r="J35" s="87"/>
      <c r="K35" s="84" t="e">
        <f t="shared" si="8"/>
        <v>#DIV/0!</v>
      </c>
      <c r="L35" s="84" t="e">
        <f t="shared" si="11"/>
        <v>#DIV/0!</v>
      </c>
      <c r="M35" s="85" t="e">
        <f t="shared" si="9"/>
        <v>#DIV/0!</v>
      </c>
      <c r="N35" s="84" t="e">
        <f t="shared" si="10"/>
        <v>#DIV/0!</v>
      </c>
      <c r="R35" s="86"/>
    </row>
    <row r="36" spans="1:33" s="59" customFormat="1" ht="20.25" hidden="1" customHeight="1" x14ac:dyDescent="0.25">
      <c r="A36" s="89"/>
      <c r="B36" s="428" t="e">
        <f>'[4]SUIVI RETRAITE '!B19</f>
        <v>#DIV/0!</v>
      </c>
      <c r="C36" s="429">
        <f>'[4]SUIVI RETRAITE '!C19</f>
        <v>0</v>
      </c>
      <c r="D36" s="90"/>
      <c r="E36" s="90"/>
      <c r="F36" s="90"/>
      <c r="G36" s="90"/>
      <c r="H36" s="90"/>
      <c r="I36" s="90"/>
      <c r="J36" s="90"/>
      <c r="K36" s="90"/>
      <c r="L36" s="90"/>
      <c r="M36" s="91"/>
      <c r="N36" s="90"/>
      <c r="R36" s="86"/>
    </row>
    <row r="37" spans="1:33" s="59" customFormat="1" ht="20.25" customHeight="1" x14ac:dyDescent="0.25">
      <c r="A37" s="432"/>
      <c r="B37" s="432"/>
      <c r="C37" s="92"/>
      <c r="D37" s="92"/>
      <c r="E37" s="92"/>
      <c r="F37" s="92"/>
      <c r="G37" s="90"/>
      <c r="H37" s="90"/>
      <c r="I37" s="90"/>
      <c r="J37" s="90"/>
      <c r="K37" s="90"/>
      <c r="L37" s="90"/>
      <c r="M37" s="91"/>
      <c r="N37" s="90"/>
      <c r="R37" s="86"/>
    </row>
    <row r="38" spans="1:33" s="59" customFormat="1" ht="20.25" customHeight="1" x14ac:dyDescent="0.25">
      <c r="A38" s="433"/>
      <c r="B38" s="1067" t="s">
        <v>121</v>
      </c>
      <c r="C38" s="1068"/>
      <c r="D38" s="434"/>
      <c r="E38" s="1066" t="s">
        <v>200</v>
      </c>
      <c r="F38" s="1066"/>
      <c r="G38" s="1063"/>
      <c r="H38" s="1063"/>
      <c r="I38" s="1063"/>
      <c r="J38" s="1063"/>
      <c r="K38" s="1063"/>
      <c r="L38" s="90"/>
      <c r="M38" s="91"/>
      <c r="N38" s="90"/>
      <c r="R38" s="86"/>
    </row>
    <row r="39" spans="1:33" ht="30" customHeight="1" x14ac:dyDescent="0.25">
      <c r="A39" s="433"/>
      <c r="B39" s="435"/>
      <c r="D39" s="94" t="s">
        <v>105</v>
      </c>
      <c r="E39" s="94" t="s">
        <v>152</v>
      </c>
      <c r="F39" s="95" t="s">
        <v>153</v>
      </c>
      <c r="G39" s="178"/>
      <c r="H39" s="162"/>
      <c r="I39" s="162"/>
      <c r="J39" s="162"/>
      <c r="L39" s="175" t="s">
        <v>152</v>
      </c>
      <c r="M39" s="95" t="s">
        <v>153</v>
      </c>
      <c r="N39" s="94" t="s">
        <v>152</v>
      </c>
      <c r="O39" s="95" t="s">
        <v>153</v>
      </c>
      <c r="P39" s="94" t="s">
        <v>152</v>
      </c>
      <c r="Q39" s="95" t="s">
        <v>153</v>
      </c>
      <c r="R39" s="94" t="s">
        <v>152</v>
      </c>
      <c r="S39" s="95" t="s">
        <v>153</v>
      </c>
      <c r="T39" s="94" t="s">
        <v>152</v>
      </c>
      <c r="U39" s="95" t="s">
        <v>153</v>
      </c>
      <c r="V39" s="94" t="s">
        <v>152</v>
      </c>
      <c r="W39" s="95" t="s">
        <v>153</v>
      </c>
      <c r="X39" s="94" t="s">
        <v>152</v>
      </c>
      <c r="Y39" s="95" t="s">
        <v>153</v>
      </c>
      <c r="Z39" s="94" t="s">
        <v>152</v>
      </c>
      <c r="AA39" s="95" t="s">
        <v>153</v>
      </c>
      <c r="AB39" s="94" t="s">
        <v>152</v>
      </c>
      <c r="AC39" s="95" t="s">
        <v>153</v>
      </c>
      <c r="AD39" s="94" t="s">
        <v>152</v>
      </c>
      <c r="AE39" s="95" t="s">
        <v>153</v>
      </c>
      <c r="AF39" s="94" t="s">
        <v>152</v>
      </c>
      <c r="AG39" s="95" t="s">
        <v>153</v>
      </c>
    </row>
    <row r="40" spans="1:33" ht="20.25" customHeight="1" x14ac:dyDescent="0.25">
      <c r="A40" s="433"/>
      <c r="B40" s="1065" t="s">
        <v>40</v>
      </c>
      <c r="C40" s="1030"/>
      <c r="D40" s="427">
        <f>'BP FORMAT JUILLET 2023'!D51</f>
        <v>6.9000000000000006E-2</v>
      </c>
      <c r="E40" s="97">
        <f>'BP FORMAT JUILLET 2023'!C51</f>
        <v>2273.0700000000002</v>
      </c>
      <c r="F40" s="98">
        <f>ROUND(E40*D40,2)</f>
        <v>156.84</v>
      </c>
      <c r="G40" s="179"/>
      <c r="H40" s="163"/>
      <c r="I40" s="163"/>
      <c r="J40" s="163"/>
      <c r="L40" s="176">
        <f>L4</f>
        <v>0</v>
      </c>
      <c r="M40" s="98">
        <f>ROUND(L40*D40/100,2)</f>
        <v>0</v>
      </c>
      <c r="N40" s="98" t="e">
        <f>L5</f>
        <v>#DIV/0!</v>
      </c>
      <c r="O40" s="98" t="e">
        <f>ROUND(N40*D40/100,2)</f>
        <v>#DIV/0!</v>
      </c>
      <c r="P40" s="98" t="e">
        <f>L6</f>
        <v>#DIV/0!</v>
      </c>
      <c r="Q40" s="98" t="e">
        <f>ROUND(P40*D40/100,2)</f>
        <v>#DIV/0!</v>
      </c>
      <c r="R40" s="98" t="e">
        <f>L7</f>
        <v>#DIV/0!</v>
      </c>
      <c r="S40" s="98" t="e">
        <f>ROUND(R40*D40/100,2)</f>
        <v>#DIV/0!</v>
      </c>
      <c r="T40" s="98" t="e">
        <f>+L8</f>
        <v>#DIV/0!</v>
      </c>
      <c r="U40" s="98" t="e">
        <f>+ROUND(T40*D40/100,2)</f>
        <v>#DIV/0!</v>
      </c>
      <c r="V40" s="99" t="e">
        <f>L9</f>
        <v>#DIV/0!</v>
      </c>
      <c r="W40" s="100" t="e">
        <f>ROUND(V40*D40/100,2)</f>
        <v>#DIV/0!</v>
      </c>
      <c r="X40" s="99" t="e">
        <f>L10</f>
        <v>#DIV/0!</v>
      </c>
      <c r="Y40" s="100" t="e">
        <f>ROUND(X40*D40/100,2)</f>
        <v>#DIV/0!</v>
      </c>
      <c r="Z40" s="99" t="e">
        <f>L11</f>
        <v>#DIV/0!</v>
      </c>
      <c r="AA40" s="100" t="e">
        <f>ROUND(Z40*D40/100,2)</f>
        <v>#DIV/0!</v>
      </c>
      <c r="AB40" s="99" t="e">
        <f>L12</f>
        <v>#DIV/0!</v>
      </c>
      <c r="AC40" s="101" t="e">
        <f>ROUND(AB40*D40/100,2)</f>
        <v>#DIV/0!</v>
      </c>
      <c r="AD40" s="99" t="e">
        <f>L13</f>
        <v>#DIV/0!</v>
      </c>
      <c r="AE40" s="101" t="e">
        <f>ROUND(AD40*D40/100,2)</f>
        <v>#DIV/0!</v>
      </c>
      <c r="AF40" s="99" t="e">
        <f>L14</f>
        <v>#DIV/0!</v>
      </c>
      <c r="AG40" s="101" t="e">
        <f>ROUND(AF40*D40/100,2)</f>
        <v>#DIV/0!</v>
      </c>
    </row>
    <row r="41" spans="1:33" ht="20.25" customHeight="1" x14ac:dyDescent="0.25">
      <c r="A41" s="433"/>
      <c r="B41" s="1065" t="s">
        <v>41</v>
      </c>
      <c r="C41" s="1030"/>
      <c r="D41" s="427">
        <f>'BP FORMAT JUILLET 2023'!D52</f>
        <v>4.0000000000000001E-3</v>
      </c>
      <c r="E41" s="97">
        <f>'BP FORMAT JUILLET 2023'!C52</f>
        <v>2273.0700000000002</v>
      </c>
      <c r="F41" s="98">
        <f t="shared" ref="F41:F47" si="14">ROUND(E41*D41,2)</f>
        <v>9.09</v>
      </c>
      <c r="G41" s="179"/>
      <c r="H41" s="163"/>
      <c r="I41" s="163"/>
      <c r="J41" s="163"/>
      <c r="L41" s="176">
        <f>B4</f>
        <v>0</v>
      </c>
      <c r="M41" s="98">
        <f t="shared" ref="M41:M48" si="15">ROUND(L41*D41/100,2)</f>
        <v>0</v>
      </c>
      <c r="N41" s="98" t="e">
        <f>B5</f>
        <v>#DIV/0!</v>
      </c>
      <c r="O41" s="98" t="e">
        <f t="shared" ref="O41:O48" si="16">ROUND(N41*D41/100,2)</f>
        <v>#DIV/0!</v>
      </c>
      <c r="P41" s="98" t="e">
        <f>B6</f>
        <v>#DIV/0!</v>
      </c>
      <c r="Q41" s="98" t="e">
        <f t="shared" ref="Q41:Q48" si="17">ROUND(P41*D41/100,2)</f>
        <v>#DIV/0!</v>
      </c>
      <c r="R41" s="98" t="e">
        <f>B7</f>
        <v>#DIV/0!</v>
      </c>
      <c r="S41" s="98" t="e">
        <f t="shared" ref="S41:S46" si="18">ROUND(R41*D41/100,2)</f>
        <v>#DIV/0!</v>
      </c>
      <c r="T41" s="98" t="e">
        <f>E8</f>
        <v>#DIV/0!</v>
      </c>
      <c r="U41" s="98" t="e">
        <f>ROUND(T41*D41/100,2)</f>
        <v>#DIV/0!</v>
      </c>
      <c r="V41" s="102" t="e">
        <f>E9</f>
        <v>#DIV/0!</v>
      </c>
      <c r="W41" s="101" t="e">
        <f>ROUND(V41*D41/100,2)</f>
        <v>#DIV/0!</v>
      </c>
      <c r="X41" s="99" t="e">
        <f>E10</f>
        <v>#DIV/0!</v>
      </c>
      <c r="Y41" s="101" t="e">
        <f>ROUND(X41*D41/100,2)</f>
        <v>#DIV/0!</v>
      </c>
      <c r="Z41" s="99" t="e">
        <f>E11</f>
        <v>#DIV/0!</v>
      </c>
      <c r="AA41" s="101" t="e">
        <f>ROUND(Z41*D41/100,2)</f>
        <v>#DIV/0!</v>
      </c>
      <c r="AB41" s="99" t="e">
        <f>E12</f>
        <v>#DIV/0!</v>
      </c>
      <c r="AC41" s="101" t="e">
        <f>ROUND(AB41*D41/100,2)</f>
        <v>#DIV/0!</v>
      </c>
      <c r="AD41" s="99" t="e">
        <f>E13</f>
        <v>#DIV/0!</v>
      </c>
      <c r="AE41" s="101" t="e">
        <f>ROUND(AD41*D41/100,2)</f>
        <v>#DIV/0!</v>
      </c>
      <c r="AF41" s="99" t="e">
        <f>E14</f>
        <v>#DIV/0!</v>
      </c>
      <c r="AG41" s="101" t="e">
        <f>ROUND(AF41*D41/100,2)</f>
        <v>#DIV/0!</v>
      </c>
    </row>
    <row r="42" spans="1:33" ht="20.25" customHeight="1" x14ac:dyDescent="0.25">
      <c r="A42" s="433"/>
      <c r="B42" s="1065" t="s">
        <v>42</v>
      </c>
      <c r="C42" s="1030"/>
      <c r="D42" s="427">
        <f>'BP FORMAT JUILLET 2023'!D53</f>
        <v>4.0099999999999997E-2</v>
      </c>
      <c r="E42" s="97">
        <f>'BP FORMAT JUILLET 2023'!C53</f>
        <v>2273.0700000000002</v>
      </c>
      <c r="F42" s="98">
        <f t="shared" si="14"/>
        <v>91.15</v>
      </c>
      <c r="G42" s="179"/>
      <c r="H42" s="163"/>
      <c r="I42" s="163"/>
      <c r="J42" s="163"/>
      <c r="L42" s="176">
        <f>L4</f>
        <v>0</v>
      </c>
      <c r="M42" s="98">
        <f t="shared" si="15"/>
        <v>0</v>
      </c>
      <c r="N42" s="98" t="e">
        <f>L5</f>
        <v>#DIV/0!</v>
      </c>
      <c r="O42" s="98" t="e">
        <f t="shared" si="16"/>
        <v>#DIV/0!</v>
      </c>
      <c r="P42" s="98" t="e">
        <f>P40</f>
        <v>#DIV/0!</v>
      </c>
      <c r="Q42" s="98" t="e">
        <f t="shared" si="17"/>
        <v>#DIV/0!</v>
      </c>
      <c r="R42" s="98" t="e">
        <f>R40</f>
        <v>#DIV/0!</v>
      </c>
      <c r="S42" s="98" t="e">
        <f t="shared" si="18"/>
        <v>#DIV/0!</v>
      </c>
      <c r="T42" s="98" t="e">
        <f>T40</f>
        <v>#DIV/0!</v>
      </c>
      <c r="U42" s="98" t="e">
        <f t="shared" ref="U42:U47" si="19">ROUND(T42*D42/100,2)</f>
        <v>#DIV/0!</v>
      </c>
      <c r="V42" s="99" t="e">
        <f>V40</f>
        <v>#DIV/0!</v>
      </c>
      <c r="W42" s="100" t="e">
        <f>ROUND(V42*D42/100,2)</f>
        <v>#DIV/0!</v>
      </c>
      <c r="X42" s="99" t="e">
        <f>X40</f>
        <v>#DIV/0!</v>
      </c>
      <c r="Y42" s="101" t="e">
        <f>ROUND(X42*D42/100,2)</f>
        <v>#DIV/0!</v>
      </c>
      <c r="Z42" s="99" t="e">
        <f>Z40</f>
        <v>#DIV/0!</v>
      </c>
      <c r="AA42" s="101" t="e">
        <f>ROUND(Z42*D42/100,2)</f>
        <v>#DIV/0!</v>
      </c>
      <c r="AB42" s="99" t="e">
        <f>AB40</f>
        <v>#DIV/0!</v>
      </c>
      <c r="AC42" s="101" t="e">
        <f>ROUND(AB42*D42/100,2)</f>
        <v>#DIV/0!</v>
      </c>
      <c r="AD42" s="99" t="e">
        <f>AD40</f>
        <v>#DIV/0!</v>
      </c>
      <c r="AE42" s="101" t="e">
        <f>ROUND(AD42*D42/100,2)</f>
        <v>#DIV/0!</v>
      </c>
      <c r="AF42" s="99" t="e">
        <f>AF40</f>
        <v>#DIV/0!</v>
      </c>
      <c r="AG42" s="101" t="e">
        <f>ROUND(AF42*D42/100,2)</f>
        <v>#DIV/0!</v>
      </c>
    </row>
    <row r="43" spans="1:33" ht="20.25" customHeight="1" x14ac:dyDescent="0.25">
      <c r="A43" s="433"/>
      <c r="B43" s="1065" t="s">
        <v>43</v>
      </c>
      <c r="C43" s="1030"/>
      <c r="D43" s="427">
        <f>'BP FORMAT JUILLET 2023'!D54</f>
        <v>0</v>
      </c>
      <c r="E43" s="97">
        <f>'BP FORMAT JUILLET 2023'!C54</f>
        <v>0</v>
      </c>
      <c r="F43" s="98">
        <f t="shared" si="14"/>
        <v>0</v>
      </c>
      <c r="G43" s="179"/>
      <c r="H43" s="163"/>
      <c r="I43" s="163"/>
      <c r="J43" s="163"/>
      <c r="L43" s="176">
        <f>P4</f>
        <v>0</v>
      </c>
      <c r="M43" s="98">
        <f>ROUND(L43*D43/100,2)</f>
        <v>0</v>
      </c>
      <c r="N43" s="98" t="e">
        <f>P5</f>
        <v>#DIV/0!</v>
      </c>
      <c r="O43" s="98" t="e">
        <f t="shared" si="16"/>
        <v>#DIV/0!</v>
      </c>
      <c r="P43" s="98" t="e">
        <f>P6</f>
        <v>#DIV/0!</v>
      </c>
      <c r="Q43" s="98" t="e">
        <f t="shared" si="17"/>
        <v>#DIV/0!</v>
      </c>
      <c r="R43" s="98" t="e">
        <f>P7</f>
        <v>#DIV/0!</v>
      </c>
      <c r="S43" s="98" t="e">
        <f t="shared" si="18"/>
        <v>#DIV/0!</v>
      </c>
      <c r="T43" s="98" t="e">
        <f>P8</f>
        <v>#DIV/0!</v>
      </c>
      <c r="U43" s="98" t="e">
        <f t="shared" si="19"/>
        <v>#DIV/0!</v>
      </c>
      <c r="V43" s="99" t="e">
        <f>P9</f>
        <v>#DIV/0!</v>
      </c>
      <c r="W43" s="101" t="e">
        <f>ROUND(V43*D43/100,2)</f>
        <v>#DIV/0!</v>
      </c>
      <c r="X43" s="99" t="e">
        <f>P10</f>
        <v>#DIV/0!</v>
      </c>
      <c r="Y43" s="101" t="e">
        <f>ROUND(X43*D43/100,2)</f>
        <v>#DIV/0!</v>
      </c>
      <c r="Z43" s="99" t="e">
        <f>P11</f>
        <v>#DIV/0!</v>
      </c>
      <c r="AA43" s="101" t="e">
        <f>ROUND(Z43*D43/100,2)</f>
        <v>#DIV/0!</v>
      </c>
      <c r="AB43" s="99" t="e">
        <f>P12</f>
        <v>#DIV/0!</v>
      </c>
      <c r="AC43" s="101" t="e">
        <f>ROUND(AB43*D43/100,2)</f>
        <v>#DIV/0!</v>
      </c>
      <c r="AD43" s="99" t="e">
        <f>P13</f>
        <v>#DIV/0!</v>
      </c>
      <c r="AE43" s="101" t="e">
        <f>ROUND(AD43*D43/100,2)</f>
        <v>#DIV/0!</v>
      </c>
      <c r="AF43" s="99" t="e">
        <f>P14</f>
        <v>#DIV/0!</v>
      </c>
      <c r="AG43" s="101" t="e">
        <f>ROUND(AF43*D43/100,2)</f>
        <v>#DIV/0!</v>
      </c>
    </row>
    <row r="44" spans="1:33" ht="21.75" hidden="1" customHeight="1" x14ac:dyDescent="0.25">
      <c r="A44" s="433"/>
      <c r="B44" s="1065"/>
      <c r="C44" s="1030"/>
      <c r="D44" s="96"/>
      <c r="E44" s="97"/>
      <c r="F44" s="98">
        <f t="shared" si="14"/>
        <v>0</v>
      </c>
      <c r="G44" s="179"/>
      <c r="H44" s="163"/>
      <c r="I44" s="163"/>
      <c r="J44" s="163"/>
      <c r="L44" s="176">
        <f>L42</f>
        <v>0</v>
      </c>
      <c r="M44" s="98">
        <f t="shared" si="15"/>
        <v>0</v>
      </c>
      <c r="N44" s="98" t="e">
        <f>N42</f>
        <v>#DIV/0!</v>
      </c>
      <c r="O44" s="98" t="e">
        <f t="shared" si="16"/>
        <v>#DIV/0!</v>
      </c>
      <c r="P44" s="98" t="e">
        <f>P42</f>
        <v>#DIV/0!</v>
      </c>
      <c r="Q44" s="98" t="e">
        <f t="shared" si="17"/>
        <v>#DIV/0!</v>
      </c>
      <c r="R44" s="98" t="e">
        <f>R42</f>
        <v>#DIV/0!</v>
      </c>
      <c r="S44" s="98" t="e">
        <f t="shared" si="18"/>
        <v>#DIV/0!</v>
      </c>
      <c r="T44" s="98" t="e">
        <f>T42</f>
        <v>#DIV/0!</v>
      </c>
      <c r="U44" s="98" t="e">
        <f t="shared" si="19"/>
        <v>#DIV/0!</v>
      </c>
      <c r="V44" s="99" t="e">
        <f>V42</f>
        <v>#DIV/0!</v>
      </c>
      <c r="W44" s="101" t="e">
        <f>ROUND(V44*D44/100,2)</f>
        <v>#DIV/0!</v>
      </c>
      <c r="X44" s="99" t="e">
        <f>+X42</f>
        <v>#DIV/0!</v>
      </c>
      <c r="Y44" s="101" t="e">
        <f>ROUND($D$44*X44/100,2)</f>
        <v>#DIV/0!</v>
      </c>
      <c r="Z44" s="99" t="e">
        <f>+Z42</f>
        <v>#DIV/0!</v>
      </c>
      <c r="AA44" s="101" t="e">
        <f>ROUND($D$44*Z44/100,2)</f>
        <v>#DIV/0!</v>
      </c>
      <c r="AB44" s="99" t="e">
        <f>+AB42</f>
        <v>#DIV/0!</v>
      </c>
      <c r="AC44" s="101" t="e">
        <f>ROUND($D$44*AB44/100,2)</f>
        <v>#DIV/0!</v>
      </c>
      <c r="AD44" s="99" t="e">
        <f>+AD42</f>
        <v>#DIV/0!</v>
      </c>
      <c r="AE44" s="101" t="e">
        <f>ROUND($D$44*AD44/100,2)</f>
        <v>#DIV/0!</v>
      </c>
      <c r="AF44" s="99" t="e">
        <f>+AF42</f>
        <v>#DIV/0!</v>
      </c>
      <c r="AG44" s="101" t="e">
        <f>ROUND($D$44*AF44/100,2)</f>
        <v>#DIV/0!</v>
      </c>
    </row>
    <row r="45" spans="1:33" ht="21.75" hidden="1" customHeight="1" x14ac:dyDescent="0.25">
      <c r="A45" s="433"/>
      <c r="B45" s="1065"/>
      <c r="C45" s="1030"/>
      <c r="D45" s="96"/>
      <c r="E45" s="97"/>
      <c r="F45" s="98">
        <f t="shared" si="14"/>
        <v>0</v>
      </c>
      <c r="G45" s="179"/>
      <c r="H45" s="163"/>
      <c r="I45" s="163"/>
      <c r="J45" s="163"/>
      <c r="L45" s="176">
        <f>L43</f>
        <v>0</v>
      </c>
      <c r="M45" s="98">
        <f t="shared" si="15"/>
        <v>0</v>
      </c>
      <c r="N45" s="98" t="e">
        <f>N43</f>
        <v>#DIV/0!</v>
      </c>
      <c r="O45" s="98" t="e">
        <f t="shared" si="16"/>
        <v>#DIV/0!</v>
      </c>
      <c r="P45" s="98" t="e">
        <f>P43</f>
        <v>#DIV/0!</v>
      </c>
      <c r="Q45" s="98" t="e">
        <f t="shared" si="17"/>
        <v>#DIV/0!</v>
      </c>
      <c r="R45" s="98" t="e">
        <f>R43</f>
        <v>#DIV/0!</v>
      </c>
      <c r="S45" s="98" t="e">
        <f t="shared" si="18"/>
        <v>#DIV/0!</v>
      </c>
      <c r="T45" s="98" t="e">
        <f>T43</f>
        <v>#DIV/0!</v>
      </c>
      <c r="U45" s="98" t="e">
        <f t="shared" si="19"/>
        <v>#DIV/0!</v>
      </c>
      <c r="V45" s="99" t="e">
        <f>V43</f>
        <v>#DIV/0!</v>
      </c>
      <c r="W45" s="101" t="e">
        <f>ROUND($D$45*V45/100,2)</f>
        <v>#DIV/0!</v>
      </c>
      <c r="X45" s="99" t="e">
        <f>X43</f>
        <v>#DIV/0!</v>
      </c>
      <c r="Y45" s="101" t="e">
        <f>ROUND($D$45*X45/100,2)</f>
        <v>#DIV/0!</v>
      </c>
      <c r="Z45" s="99" t="e">
        <f>Z43</f>
        <v>#DIV/0!</v>
      </c>
      <c r="AA45" s="101" t="e">
        <f>ROUND($D$45*Z45/100,2)</f>
        <v>#DIV/0!</v>
      </c>
      <c r="AB45" s="99" t="e">
        <f>AB43</f>
        <v>#DIV/0!</v>
      </c>
      <c r="AC45" s="101" t="e">
        <f>ROUND($D$45*AB45/100,2)</f>
        <v>#DIV/0!</v>
      </c>
      <c r="AD45" s="99" t="e">
        <f>AD43</f>
        <v>#DIV/0!</v>
      </c>
      <c r="AE45" s="101" t="e">
        <f>ROUND($D$45*AD45/100,2)</f>
        <v>#DIV/0!</v>
      </c>
      <c r="AF45" s="99" t="e">
        <f>AF43</f>
        <v>#DIV/0!</v>
      </c>
      <c r="AG45" s="101" t="e">
        <f>ROUND($D$45*AF45/100,2)</f>
        <v>#DIV/0!</v>
      </c>
    </row>
    <row r="46" spans="1:33" ht="21.75" hidden="1" customHeight="1" x14ac:dyDescent="0.25">
      <c r="A46" s="433"/>
      <c r="B46" s="1065"/>
      <c r="C46" s="1030"/>
      <c r="D46" s="96"/>
      <c r="E46" s="97"/>
      <c r="F46" s="98">
        <f t="shared" si="14"/>
        <v>0</v>
      </c>
      <c r="G46" s="179"/>
      <c r="H46" s="163"/>
      <c r="I46" s="163"/>
      <c r="J46" s="163"/>
      <c r="L46" s="176">
        <f>L25</f>
        <v>0</v>
      </c>
      <c r="M46" s="98">
        <f t="shared" si="15"/>
        <v>0</v>
      </c>
      <c r="N46" s="98" t="e">
        <f>L26</f>
        <v>#DIV/0!</v>
      </c>
      <c r="O46" s="98" t="e">
        <f t="shared" si="16"/>
        <v>#DIV/0!</v>
      </c>
      <c r="P46" s="98" t="e">
        <f>L27</f>
        <v>#DIV/0!</v>
      </c>
      <c r="Q46" s="98" t="e">
        <f t="shared" si="17"/>
        <v>#DIV/0!</v>
      </c>
      <c r="R46" s="98" t="e">
        <f>L28</f>
        <v>#DIV/0!</v>
      </c>
      <c r="S46" s="98" t="e">
        <f t="shared" si="18"/>
        <v>#DIV/0!</v>
      </c>
      <c r="T46" s="98" t="e">
        <f>L29</f>
        <v>#DIV/0!</v>
      </c>
      <c r="U46" s="98" t="e">
        <f t="shared" si="19"/>
        <v>#DIV/0!</v>
      </c>
      <c r="V46" s="99" t="e">
        <f>L30</f>
        <v>#DIV/0!</v>
      </c>
      <c r="W46" s="100" t="e">
        <f>ROUND(V46*$D$46/100,2)</f>
        <v>#DIV/0!</v>
      </c>
      <c r="X46" s="99" t="e">
        <f>L31</f>
        <v>#DIV/0!</v>
      </c>
      <c r="Y46" s="101" t="e">
        <f>ROUND(X46*$D$46/100,2)</f>
        <v>#DIV/0!</v>
      </c>
      <c r="Z46" s="99" t="e">
        <f>L32</f>
        <v>#DIV/0!</v>
      </c>
      <c r="AA46" s="101" t="e">
        <f>ROUND(Z46*$D$46/100,2)</f>
        <v>#DIV/0!</v>
      </c>
      <c r="AB46" s="99" t="e">
        <f>L33</f>
        <v>#DIV/0!</v>
      </c>
      <c r="AC46" s="101" t="e">
        <f>ROUND(AB46*$D$46/100,2)</f>
        <v>#DIV/0!</v>
      </c>
      <c r="AD46" s="99" t="e">
        <f>L34</f>
        <v>#DIV/0!</v>
      </c>
      <c r="AE46" s="101" t="e">
        <f>ROUND(AD46*$D$46/100,2)</f>
        <v>#DIV/0!</v>
      </c>
      <c r="AF46" s="99" t="e">
        <f>L35</f>
        <v>#DIV/0!</v>
      </c>
      <c r="AG46" s="101" t="e">
        <f>ROUND(AF46*$D$46/100,2)</f>
        <v>#DIV/0!</v>
      </c>
    </row>
    <row r="47" spans="1:33" ht="21.75" hidden="1" customHeight="1" x14ac:dyDescent="0.25">
      <c r="A47" s="433"/>
      <c r="B47" s="1065"/>
      <c r="C47" s="1030"/>
      <c r="D47" s="96"/>
      <c r="E47" s="97"/>
      <c r="F47" s="98">
        <f t="shared" si="14"/>
        <v>0</v>
      </c>
      <c r="G47" s="179"/>
      <c r="H47" s="163"/>
      <c r="I47" s="163"/>
      <c r="J47" s="163"/>
      <c r="L47" s="176">
        <f>N25</f>
        <v>0</v>
      </c>
      <c r="M47" s="98">
        <f t="shared" si="15"/>
        <v>0</v>
      </c>
      <c r="N47" s="98" t="e">
        <f>N26</f>
        <v>#DIV/0!</v>
      </c>
      <c r="O47" s="98" t="e">
        <f t="shared" si="16"/>
        <v>#DIV/0!</v>
      </c>
      <c r="P47" s="98" t="e">
        <f>N27</f>
        <v>#DIV/0!</v>
      </c>
      <c r="Q47" s="98" t="e">
        <f t="shared" si="17"/>
        <v>#DIV/0!</v>
      </c>
      <c r="R47" s="98" t="e">
        <f>N28</f>
        <v>#DIV/0!</v>
      </c>
      <c r="S47" s="98" t="e">
        <f>ROUND(D47*R47/100,2)</f>
        <v>#DIV/0!</v>
      </c>
      <c r="T47" s="98" t="e">
        <f>N29</f>
        <v>#DIV/0!</v>
      </c>
      <c r="U47" s="98" t="e">
        <f t="shared" si="19"/>
        <v>#DIV/0!</v>
      </c>
      <c r="V47" s="99" t="e">
        <f>N30</f>
        <v>#DIV/0!</v>
      </c>
      <c r="W47" s="101" t="e">
        <f>ROUND(V47*D47/100,2)</f>
        <v>#DIV/0!</v>
      </c>
      <c r="X47" s="99" t="e">
        <f>N31</f>
        <v>#DIV/0!</v>
      </c>
      <c r="Y47" s="101" t="e">
        <f>ROUND(X47*D47/100,2)</f>
        <v>#DIV/0!</v>
      </c>
      <c r="Z47" s="99" t="e">
        <f>N32</f>
        <v>#DIV/0!</v>
      </c>
      <c r="AA47" s="101" t="e">
        <f>ROUND(D47*Z47/100,2)</f>
        <v>#DIV/0!</v>
      </c>
      <c r="AB47" s="99" t="e">
        <f>N33</f>
        <v>#DIV/0!</v>
      </c>
      <c r="AC47" s="101" t="e">
        <f>ROUND(D47*AB47/100,2)</f>
        <v>#DIV/0!</v>
      </c>
      <c r="AD47" s="99" t="e">
        <f>N34</f>
        <v>#DIV/0!</v>
      </c>
      <c r="AE47" s="101" t="e">
        <f>ROUND(D47*AD47/100,2)</f>
        <v>#DIV/0!</v>
      </c>
      <c r="AF47" s="99" t="e">
        <f>N35</f>
        <v>#DIV/0!</v>
      </c>
      <c r="AG47" s="101" t="e">
        <f>ROUND(AF47*D47/100,2)</f>
        <v>#DIV/0!</v>
      </c>
    </row>
    <row r="48" spans="1:33" ht="21.75" hidden="1" customHeight="1" x14ac:dyDescent="0.25">
      <c r="A48" s="433"/>
      <c r="B48" s="1065"/>
      <c r="C48" s="1030"/>
      <c r="D48" s="378"/>
      <c r="E48" s="157"/>
      <c r="F48" s="98"/>
      <c r="G48" s="119"/>
      <c r="H48" s="163"/>
      <c r="I48" s="163"/>
      <c r="J48" s="163"/>
      <c r="L48" s="176">
        <f>'[4]BP FEVRIER    '!C102</f>
        <v>0</v>
      </c>
      <c r="M48" s="98">
        <f t="shared" si="15"/>
        <v>0</v>
      </c>
      <c r="N48" s="98" t="e">
        <f>'[4]BP MARS   '!C102</f>
        <v>#DIV/0!</v>
      </c>
      <c r="O48" s="98" t="e">
        <f t="shared" si="16"/>
        <v>#DIV/0!</v>
      </c>
      <c r="P48" s="98" t="e">
        <f>'[4]BP AVRIL    '!C102</f>
        <v>#DIV/0!</v>
      </c>
      <c r="Q48" s="98" t="e">
        <f t="shared" si="17"/>
        <v>#DIV/0!</v>
      </c>
      <c r="R48" s="98" t="e">
        <f>'[4]BP MAI     '!C102</f>
        <v>#DIV/0!</v>
      </c>
      <c r="S48" s="98" t="e">
        <f>'[4]BP MAI     '!F102</f>
        <v>#DIV/0!</v>
      </c>
      <c r="T48" s="104" t="e">
        <f>'[4]BP  JUIN '!C102</f>
        <v>#DIV/0!</v>
      </c>
      <c r="U48" s="98" t="e">
        <f>ROUND(T48*D48/100,2)</f>
        <v>#DIV/0!</v>
      </c>
      <c r="V48" s="99" t="e">
        <f>+T48+'[4]BP JUILLET '!C102</f>
        <v>#DIV/0!</v>
      </c>
      <c r="W48" s="100" t="e">
        <f>ROUND(V48*$D$48/100,2)</f>
        <v>#DIV/0!</v>
      </c>
      <c r="X48" s="104" t="e">
        <f>V48+'[4]BP AOUT '!C101</f>
        <v>#DIV/0!</v>
      </c>
      <c r="Y48" s="101" t="e">
        <f>ROUND(X48*$D$48/100,2)</f>
        <v>#DIV/0!</v>
      </c>
      <c r="Z48" s="104" t="e">
        <f>X48+'[4]BP SEPTEMBRE '!C101</f>
        <v>#DIV/0!</v>
      </c>
      <c r="AA48" s="101" t="e">
        <f>ROUND(Z48*$D$48/100,2)</f>
        <v>#DIV/0!</v>
      </c>
      <c r="AB48" s="104" t="e">
        <f>Z48+'[4]BP OCTOBRE '!C101</f>
        <v>#DIV/0!</v>
      </c>
      <c r="AC48" s="101" t="e">
        <f>ROUND(AB48*$D$48/100,2)</f>
        <v>#DIV/0!</v>
      </c>
      <c r="AD48" s="104" t="e">
        <f>AB48+'[4]BP NOVEMBRE '!C101</f>
        <v>#DIV/0!</v>
      </c>
      <c r="AE48" s="101" t="e">
        <f>ROUND(AD48*$D$48/100,2)</f>
        <v>#DIV/0!</v>
      </c>
      <c r="AF48" s="104" t="e">
        <f>AD48+'[4]BP DECEMBRE '!C101</f>
        <v>#DIV/0!</v>
      </c>
      <c r="AG48" s="101" t="e">
        <f>ROUND(AF48*$D$48/100,2)</f>
        <v>#DIV/0!</v>
      </c>
    </row>
    <row r="49" spans="1:33" s="21" customFormat="1" ht="20.25" customHeight="1" x14ac:dyDescent="0.2">
      <c r="A49" s="433"/>
      <c r="B49" s="1064" t="s">
        <v>97</v>
      </c>
      <c r="C49" s="1064"/>
      <c r="D49" s="436"/>
      <c r="F49" s="143">
        <f>SUM(F40:F48)</f>
        <v>257.08000000000004</v>
      </c>
      <c r="H49" s="164"/>
      <c r="I49" s="164"/>
      <c r="J49" s="164"/>
      <c r="L49" s="177"/>
      <c r="M49" s="106">
        <f>SUM(M40:M48)</f>
        <v>0</v>
      </c>
      <c r="N49" s="106"/>
      <c r="O49" s="106" t="e">
        <f>SUM(O40:O48)</f>
        <v>#DIV/0!</v>
      </c>
      <c r="P49" s="106"/>
      <c r="Q49" s="106" t="e">
        <f>SUM(Q40:Q48)</f>
        <v>#DIV/0!</v>
      </c>
      <c r="R49" s="106"/>
      <c r="S49" s="106" t="e">
        <f>SUM(S40:S48)</f>
        <v>#DIV/0!</v>
      </c>
      <c r="T49" s="106"/>
      <c r="U49" s="106" t="e">
        <f>SUM(U40:U48)</f>
        <v>#DIV/0!</v>
      </c>
      <c r="V49" s="106"/>
      <c r="W49" s="106" t="e">
        <f>SUM(W40:W48)</f>
        <v>#DIV/0!</v>
      </c>
      <c r="X49" s="106"/>
      <c r="Y49" s="106" t="e">
        <f t="shared" ref="Y49:AG49" si="20">SUM(Y40:Y48)</f>
        <v>#DIV/0!</v>
      </c>
      <c r="Z49" s="106"/>
      <c r="AA49" s="106" t="e">
        <f t="shared" si="20"/>
        <v>#DIV/0!</v>
      </c>
      <c r="AB49" s="106"/>
      <c r="AC49" s="106" t="e">
        <f t="shared" si="20"/>
        <v>#DIV/0!</v>
      </c>
      <c r="AD49" s="106"/>
      <c r="AE49" s="106" t="e">
        <f t="shared" si="20"/>
        <v>#DIV/0!</v>
      </c>
      <c r="AF49" s="106"/>
      <c r="AG49" s="106" t="e">
        <f t="shared" si="20"/>
        <v>#DIV/0!</v>
      </c>
    </row>
    <row r="50" spans="1:33" ht="20.25" customHeight="1" x14ac:dyDescent="0.25">
      <c r="A50" s="433"/>
      <c r="B50" s="1042" t="s">
        <v>201</v>
      </c>
      <c r="C50" s="1042"/>
      <c r="D50" s="437"/>
      <c r="E50" s="438"/>
      <c r="F50" s="426">
        <f xml:space="preserve"> ROUND(IF(F49/E41&gt;0.1131,0.1131,F49/E41),4)</f>
        <v>0.11310000000000001</v>
      </c>
      <c r="G50" s="107"/>
      <c r="H50" s="107"/>
      <c r="I50" s="107"/>
      <c r="J50" s="107"/>
      <c r="L50" s="108"/>
      <c r="M50" s="108"/>
      <c r="N50" s="108"/>
      <c r="P50" s="107"/>
      <c r="R50" s="107"/>
    </row>
    <row r="51" spans="1:33" ht="20.25" customHeight="1" x14ac:dyDescent="0.25">
      <c r="B51" s="53"/>
      <c r="C51" s="53"/>
      <c r="E51" s="107"/>
      <c r="F51" s="107"/>
      <c r="G51" s="107"/>
      <c r="H51" s="107"/>
      <c r="I51" s="107"/>
      <c r="J51" s="107"/>
      <c r="L51" s="108"/>
      <c r="M51" s="108"/>
      <c r="N51" s="108"/>
      <c r="P51" s="107"/>
      <c r="R51" s="107"/>
    </row>
    <row r="52" spans="1:33" ht="20.25" customHeight="1" x14ac:dyDescent="0.25">
      <c r="T52" s="107"/>
    </row>
    <row r="53" spans="1:33" ht="20.25" customHeight="1" x14ac:dyDescent="0.25">
      <c r="B53" s="109"/>
      <c r="C53" s="109"/>
      <c r="D53" s="109"/>
      <c r="E53" s="109"/>
      <c r="F53" s="109"/>
      <c r="G53" s="109"/>
      <c r="H53" s="109"/>
      <c r="I53" s="109"/>
      <c r="J53" s="109"/>
      <c r="K53" s="109"/>
    </row>
    <row r="54" spans="1:33" ht="27.75" customHeight="1" x14ac:dyDescent="0.25">
      <c r="A54" s="93" t="s">
        <v>154</v>
      </c>
      <c r="B54" s="1060" t="s">
        <v>155</v>
      </c>
      <c r="C54" s="864"/>
      <c r="D54" s="864"/>
      <c r="E54" s="864"/>
      <c r="F54" s="864"/>
      <c r="G54" s="864"/>
      <c r="H54" s="864"/>
      <c r="I54" s="864"/>
      <c r="J54" s="864"/>
      <c r="K54" s="864"/>
      <c r="O54" s="110"/>
      <c r="P54" s="110"/>
      <c r="Q54" s="110"/>
      <c r="R54" s="110"/>
      <c r="S54" s="110"/>
      <c r="T54" s="110"/>
    </row>
    <row r="55" spans="1:33" ht="20.25" customHeight="1" x14ac:dyDescent="0.25">
      <c r="A55" s="58" t="s">
        <v>304</v>
      </c>
      <c r="B55" s="58" t="s">
        <v>268</v>
      </c>
      <c r="C55" s="58" t="s">
        <v>229</v>
      </c>
      <c r="D55" s="58" t="s">
        <v>269</v>
      </c>
      <c r="E55" s="58" t="s">
        <v>270</v>
      </c>
      <c r="F55" s="58" t="s">
        <v>271</v>
      </c>
      <c r="G55" s="58" t="s">
        <v>272</v>
      </c>
      <c r="H55" s="46"/>
      <c r="K55" s="111"/>
    </row>
    <row r="56" spans="1:33" s="112" customFormat="1" ht="48.75" customHeight="1" x14ac:dyDescent="0.2">
      <c r="A56" s="113" t="s">
        <v>308</v>
      </c>
      <c r="B56" s="430" t="s">
        <v>156</v>
      </c>
      <c r="C56" s="430" t="s">
        <v>309</v>
      </c>
      <c r="D56" s="430" t="s">
        <v>105</v>
      </c>
      <c r="E56" s="430" t="s">
        <v>310</v>
      </c>
      <c r="F56" s="431" t="s">
        <v>157</v>
      </c>
      <c r="G56" s="431" t="s">
        <v>402</v>
      </c>
      <c r="H56" s="114">
        <v>56</v>
      </c>
      <c r="I56" s="115"/>
      <c r="J56" s="115"/>
      <c r="N56" s="115"/>
      <c r="O56" s="115"/>
      <c r="P56" s="115"/>
      <c r="Q56" s="115"/>
      <c r="R56" s="115"/>
      <c r="S56" s="115"/>
      <c r="T56" s="115"/>
    </row>
    <row r="57" spans="1:33" s="112" customFormat="1" ht="33" customHeight="1" x14ac:dyDescent="0.2">
      <c r="A57" s="380"/>
      <c r="B57" s="382">
        <f>'BP FORMAT JUILLET 2023'!J21+'BP FORMAT JUILLET 2023'!J22+'BP FORMAT JUILLET 2023'!J20+'BP FORMAT JUILLET 2023'!J18+'BP FORMAT JUILLET 2023'!J19</f>
        <v>173.07</v>
      </c>
      <c r="C57" s="145">
        <f>A57+B57</f>
        <v>173.07</v>
      </c>
      <c r="D57" s="146">
        <f>ROUND(IF(F49/E41&gt;0.1131,0.1131,F49/E41),4)</f>
        <v>0.11310000000000001</v>
      </c>
      <c r="E57" s="383">
        <f>IF(A57&gt;8037,0,IF(C57&gt;8037,8037-A57,B57))</f>
        <v>173.07</v>
      </c>
      <c r="F57" s="383">
        <f>ROUND(E57*D57,2)</f>
        <v>19.57</v>
      </c>
      <c r="G57" s="381">
        <f>IF(C57&gt;8037,B57-E57,0)</f>
        <v>0</v>
      </c>
      <c r="H57" s="114">
        <v>57</v>
      </c>
      <c r="I57" s="159"/>
      <c r="J57" s="159"/>
      <c r="N57" s="115"/>
      <c r="O57" s="115"/>
      <c r="P57" s="115"/>
      <c r="Q57" s="115"/>
      <c r="R57" s="115"/>
      <c r="S57" s="115"/>
      <c r="T57" s="115"/>
    </row>
    <row r="58" spans="1:33" ht="22.5" hidden="1" customHeight="1" x14ac:dyDescent="0.25">
      <c r="A58" s="144"/>
      <c r="B58" s="145"/>
      <c r="C58" s="145"/>
      <c r="D58" s="144"/>
      <c r="E58" s="161"/>
      <c r="F58" s="145"/>
      <c r="G58" s="160"/>
      <c r="H58" s="160"/>
      <c r="I58" s="160"/>
      <c r="J58" s="160"/>
      <c r="L58" s="119"/>
      <c r="M58" s="120"/>
      <c r="N58" s="121"/>
      <c r="O58" s="115"/>
      <c r="P58" s="115"/>
      <c r="Q58" s="115"/>
      <c r="R58" s="119"/>
      <c r="S58" s="119"/>
      <c r="T58" s="119"/>
    </row>
    <row r="59" spans="1:33" ht="22.5" hidden="1" customHeight="1" x14ac:dyDescent="0.25">
      <c r="A59" s="114" t="s">
        <v>158</v>
      </c>
      <c r="B59" s="103">
        <f>+'[4]BP FEVRIER    '!J59+'[4]BP FEVRIER    '!J60+'[4]BP FEVRIER    '!J61+'[4]BP FEVRIER    '!J62+'[4]BP FEVRIER    '!J63</f>
        <v>0</v>
      </c>
      <c r="C59" s="114">
        <f>B59+B57</f>
        <v>173.07</v>
      </c>
      <c r="D59" s="116" t="e">
        <f>IF(M49/B25&gt;0.1131,0.1131,M49/B25)</f>
        <v>#DIV/0!</v>
      </c>
      <c r="E59" s="117" t="e">
        <f>IF(C59&lt;5358,B59*D59,IF(C57&gt;5358,0,(5358-C57)*D59))</f>
        <v>#DIV/0!</v>
      </c>
      <c r="F59" s="117"/>
      <c r="G59" s="158"/>
      <c r="H59" s="158"/>
      <c r="I59" s="158"/>
      <c r="J59" s="158"/>
      <c r="K59" s="118">
        <f>IF(C59&lt;5358,B59,IF(C57&gt;5358,0,5358-C57))</f>
        <v>0</v>
      </c>
      <c r="L59" s="119"/>
      <c r="M59" s="120"/>
      <c r="N59" s="121"/>
      <c r="O59" s="115"/>
      <c r="P59" s="115"/>
      <c r="Q59" s="115"/>
      <c r="R59" s="119"/>
      <c r="S59" s="119"/>
      <c r="T59" s="119"/>
    </row>
    <row r="60" spans="1:33" ht="22.5" hidden="1" customHeight="1" x14ac:dyDescent="0.25">
      <c r="A60" s="114" t="s">
        <v>159</v>
      </c>
      <c r="B60" s="103" t="e">
        <f>+L91</f>
        <v>#DIV/0!</v>
      </c>
      <c r="C60" s="103" t="e">
        <f>C59+B60</f>
        <v>#DIV/0!</v>
      </c>
      <c r="D60" s="116" t="e">
        <f>IF(O49/B26&lt;0.1131,O49/B26,0.1131)</f>
        <v>#DIV/0!</v>
      </c>
      <c r="E60" s="117" t="e">
        <f>IF(C60&lt;5358,B60*D60,IF(C59&gt;5358,0,(5358-C59)*D60))</f>
        <v>#DIV/0!</v>
      </c>
      <c r="F60" s="117"/>
      <c r="G60" s="117"/>
      <c r="H60" s="117"/>
      <c r="I60" s="117"/>
      <c r="J60" s="117"/>
      <c r="K60" s="118" t="e">
        <f t="shared" ref="K60:K69" si="21">IF(C60&lt;5358,B60,IF(C59&gt;5358,0,5358-C59))</f>
        <v>#DIV/0!</v>
      </c>
      <c r="L60" s="119"/>
      <c r="M60" s="120"/>
      <c r="N60" s="121"/>
      <c r="O60" s="122"/>
      <c r="P60" s="122"/>
      <c r="Q60" s="122"/>
      <c r="R60" s="122"/>
      <c r="S60" s="122"/>
      <c r="T60" s="122"/>
    </row>
    <row r="61" spans="1:33" ht="22.5" hidden="1" customHeight="1" x14ac:dyDescent="0.25">
      <c r="A61" s="114" t="s">
        <v>160</v>
      </c>
      <c r="B61" s="103" t="e">
        <f>+M91</f>
        <v>#DIV/0!</v>
      </c>
      <c r="C61" s="103" t="e">
        <f>C60+B61</f>
        <v>#DIV/0!</v>
      </c>
      <c r="D61" s="116" t="e">
        <f>IF(Q49/B27&lt;0.1131,Q49/B27,0.1131)</f>
        <v>#DIV/0!</v>
      </c>
      <c r="E61" s="117" t="e">
        <f>IF(C61&lt;5358,B61*D61,IF(C60&gt;5358,0,(5358-C60)*D61))</f>
        <v>#DIV/0!</v>
      </c>
      <c r="F61" s="117"/>
      <c r="G61" s="117"/>
      <c r="H61" s="117"/>
      <c r="I61" s="117"/>
      <c r="J61" s="117"/>
      <c r="K61" s="118" t="e">
        <f t="shared" si="21"/>
        <v>#DIV/0!</v>
      </c>
      <c r="L61" s="119"/>
      <c r="M61" s="120"/>
      <c r="N61" s="121"/>
      <c r="O61" s="122"/>
      <c r="P61" s="122"/>
      <c r="Q61" s="122"/>
      <c r="R61" s="122"/>
      <c r="S61" s="122"/>
      <c r="T61" s="122"/>
      <c r="U61" s="2"/>
    </row>
    <row r="62" spans="1:33" ht="22.5" hidden="1" customHeight="1" x14ac:dyDescent="0.25">
      <c r="A62" s="114" t="s">
        <v>161</v>
      </c>
      <c r="B62" s="103" t="e">
        <f>+N91</f>
        <v>#DIV/0!</v>
      </c>
      <c r="C62" s="103" t="e">
        <f>C61+B62</f>
        <v>#DIV/0!</v>
      </c>
      <c r="D62" s="116" t="e">
        <f>IF(S49/B28&lt;0.1131,S49/B28,0.1131)</f>
        <v>#DIV/0!</v>
      </c>
      <c r="E62" s="117" t="e">
        <f>IF(C62&lt;5358,B62*D62,IF(C61&gt;5358,0,(5358-C61)*D62))</f>
        <v>#DIV/0!</v>
      </c>
      <c r="F62" s="117"/>
      <c r="G62" s="117"/>
      <c r="H62" s="117"/>
      <c r="I62" s="117"/>
      <c r="J62" s="117"/>
      <c r="K62" s="118" t="e">
        <f t="shared" si="21"/>
        <v>#DIV/0!</v>
      </c>
      <c r="L62" s="119"/>
      <c r="M62" s="120"/>
      <c r="N62" s="121"/>
      <c r="O62" s="122"/>
      <c r="P62" s="122"/>
      <c r="Q62" s="122"/>
      <c r="R62" s="122"/>
      <c r="S62" s="122"/>
      <c r="T62" s="122"/>
      <c r="U62" s="2"/>
    </row>
    <row r="63" spans="1:33" ht="22.5" hidden="1" customHeight="1" x14ac:dyDescent="0.25">
      <c r="A63" s="114" t="s">
        <v>150</v>
      </c>
      <c r="B63" s="103" t="e">
        <f>+O91</f>
        <v>#DIV/0!</v>
      </c>
      <c r="C63" s="103" t="e">
        <f>C62+B63</f>
        <v>#DIV/0!</v>
      </c>
      <c r="D63" s="116" t="e">
        <f>IF(U49/B29&lt;0.1131,U49/B29,0.1131)</f>
        <v>#DIV/0!</v>
      </c>
      <c r="E63" s="117" t="e">
        <f>IF(C63&lt;5358,B63*D63,IF(C62&gt;5358,0,(5358-C62)*D63))</f>
        <v>#DIV/0!</v>
      </c>
      <c r="F63" s="117"/>
      <c r="G63" s="117"/>
      <c r="H63" s="117"/>
      <c r="I63" s="117"/>
      <c r="J63" s="117"/>
      <c r="K63" s="118" t="e">
        <f t="shared" si="21"/>
        <v>#DIV/0!</v>
      </c>
      <c r="L63" s="119"/>
      <c r="M63" s="120"/>
      <c r="N63" s="121"/>
      <c r="O63" s="122"/>
      <c r="P63" s="122"/>
      <c r="Q63" s="122"/>
      <c r="R63" s="122"/>
      <c r="S63" s="122"/>
      <c r="T63" s="122"/>
      <c r="U63" s="2"/>
    </row>
    <row r="64" spans="1:33" ht="22.5" hidden="1" customHeight="1" x14ac:dyDescent="0.25">
      <c r="A64" s="114" t="s">
        <v>162</v>
      </c>
      <c r="B64" s="123" t="e">
        <f>'[4]BP JUILLET '!J59+'[4]BP JUILLET '!J60+'[4]BP JUILLET '!J61+'[4]BP JUILLET '!J62+'[4]BP JUILLET '!J63</f>
        <v>#DIV/0!</v>
      </c>
      <c r="C64" s="123" t="e">
        <f t="shared" ref="C64:C69" si="22">+B64+C63</f>
        <v>#DIV/0!</v>
      </c>
      <c r="D64" s="124" t="e">
        <f>+IF(W49/B30&gt;0.1131,0.1131,W49/B30)</f>
        <v>#DIV/0!</v>
      </c>
      <c r="E64" s="117" t="e">
        <f t="shared" ref="E64:E69" si="23">IF(C64&lt;5358,B64*D64,IF(C63&gt;5358,0,(5358-C63)*D64))</f>
        <v>#DIV/0!</v>
      </c>
      <c r="F64" s="117"/>
      <c r="G64" s="117"/>
      <c r="H64" s="117"/>
      <c r="I64" s="117"/>
      <c r="J64" s="117"/>
      <c r="K64" s="118" t="e">
        <f t="shared" si="21"/>
        <v>#DIV/0!</v>
      </c>
      <c r="L64" s="119"/>
      <c r="M64" s="120"/>
      <c r="N64" s="121"/>
      <c r="O64" s="122"/>
      <c r="P64" s="122"/>
      <c r="Q64" s="122"/>
      <c r="R64" s="122"/>
      <c r="S64" s="122"/>
      <c r="T64" s="122"/>
    </row>
    <row r="65" spans="1:20" ht="22.5" hidden="1" customHeight="1" x14ac:dyDescent="0.25">
      <c r="A65" s="114" t="s">
        <v>163</v>
      </c>
      <c r="B65" s="123" t="e">
        <f>Q91</f>
        <v>#DIV/0!</v>
      </c>
      <c r="C65" s="123" t="e">
        <f t="shared" si="22"/>
        <v>#DIV/0!</v>
      </c>
      <c r="D65" s="124" t="e">
        <f>+IF(Y49/B31&gt;0.1131,0.1131,Y49/B31)</f>
        <v>#DIV/0!</v>
      </c>
      <c r="E65" s="117" t="e">
        <f t="shared" si="23"/>
        <v>#DIV/0!</v>
      </c>
      <c r="F65" s="117"/>
      <c r="G65" s="117"/>
      <c r="H65" s="117"/>
      <c r="I65" s="117"/>
      <c r="J65" s="117"/>
      <c r="K65" s="118" t="e">
        <f t="shared" si="21"/>
        <v>#DIV/0!</v>
      </c>
      <c r="L65" s="119"/>
      <c r="M65" s="120"/>
      <c r="N65" s="121"/>
      <c r="O65" s="122"/>
      <c r="P65" s="122"/>
      <c r="Q65" s="122"/>
      <c r="R65" s="122"/>
      <c r="S65" s="122"/>
      <c r="T65" s="122"/>
    </row>
    <row r="66" spans="1:20" ht="22.5" hidden="1" customHeight="1" x14ac:dyDescent="0.25">
      <c r="A66" s="114" t="s">
        <v>164</v>
      </c>
      <c r="B66" s="123" t="e">
        <f>R91</f>
        <v>#DIV/0!</v>
      </c>
      <c r="C66" s="123" t="e">
        <f t="shared" si="22"/>
        <v>#DIV/0!</v>
      </c>
      <c r="D66" s="124" t="e">
        <f>+IF(AA49/B32&gt;0.1131,0.1131,AA49/E11)</f>
        <v>#DIV/0!</v>
      </c>
      <c r="E66" s="117" t="e">
        <f t="shared" si="23"/>
        <v>#DIV/0!</v>
      </c>
      <c r="F66" s="117"/>
      <c r="G66" s="117"/>
      <c r="H66" s="117"/>
      <c r="I66" s="117"/>
      <c r="J66" s="117"/>
      <c r="K66" s="118" t="e">
        <f t="shared" si="21"/>
        <v>#DIV/0!</v>
      </c>
      <c r="L66" s="119"/>
      <c r="M66" s="120"/>
      <c r="N66" s="121"/>
      <c r="O66" s="122"/>
      <c r="P66" s="122"/>
      <c r="Q66" s="122"/>
      <c r="R66" s="122"/>
      <c r="S66" s="122"/>
      <c r="T66" s="122"/>
    </row>
    <row r="67" spans="1:20" ht="22.5" hidden="1" customHeight="1" x14ac:dyDescent="0.25">
      <c r="A67" s="114" t="s">
        <v>165</v>
      </c>
      <c r="B67" s="123" t="e">
        <f>S91</f>
        <v>#DIV/0!</v>
      </c>
      <c r="C67" s="123" t="e">
        <f t="shared" si="22"/>
        <v>#DIV/0!</v>
      </c>
      <c r="D67" s="124" t="e">
        <f>+IF(AC49/B33&gt;0.1131,0.1131,AC49/EG2)</f>
        <v>#DIV/0!</v>
      </c>
      <c r="E67" s="117" t="e">
        <f t="shared" si="23"/>
        <v>#DIV/0!</v>
      </c>
      <c r="F67" s="117"/>
      <c r="G67" s="117"/>
      <c r="H67" s="117"/>
      <c r="I67" s="117"/>
      <c r="J67" s="117"/>
      <c r="K67" s="118" t="e">
        <f t="shared" si="21"/>
        <v>#DIV/0!</v>
      </c>
      <c r="L67" s="119"/>
      <c r="M67" s="120"/>
      <c r="N67" s="121"/>
      <c r="O67" s="122"/>
      <c r="P67" s="122"/>
      <c r="Q67" s="122"/>
      <c r="R67" s="122"/>
      <c r="S67" s="122"/>
      <c r="T67" s="122"/>
    </row>
    <row r="68" spans="1:20" ht="22.5" hidden="1" customHeight="1" x14ac:dyDescent="0.25">
      <c r="A68" s="114" t="s">
        <v>166</v>
      </c>
      <c r="B68" s="123" t="e">
        <f>T91</f>
        <v>#DIV/0!</v>
      </c>
      <c r="C68" s="123" t="e">
        <f t="shared" si="22"/>
        <v>#DIV/0!</v>
      </c>
      <c r="D68" s="124" t="e">
        <f>+IF(AE49/B34&gt;0.1131,0.1131,AE49/B34)</f>
        <v>#DIV/0!</v>
      </c>
      <c r="E68" s="117" t="e">
        <f t="shared" si="23"/>
        <v>#DIV/0!</v>
      </c>
      <c r="F68" s="117"/>
      <c r="G68" s="117"/>
      <c r="H68" s="117"/>
      <c r="I68" s="117"/>
      <c r="J68" s="117"/>
      <c r="K68" s="118" t="e">
        <f t="shared" si="21"/>
        <v>#DIV/0!</v>
      </c>
      <c r="L68" s="119"/>
      <c r="M68" s="120"/>
      <c r="N68" s="121"/>
      <c r="O68" s="122"/>
      <c r="P68" s="122"/>
      <c r="Q68" s="122"/>
      <c r="R68" s="122"/>
      <c r="S68" s="122"/>
      <c r="T68" s="122"/>
    </row>
    <row r="69" spans="1:20" ht="22.5" hidden="1" customHeight="1" x14ac:dyDescent="0.25">
      <c r="A69" s="114" t="s">
        <v>167</v>
      </c>
      <c r="B69" s="123" t="e">
        <f>U91</f>
        <v>#DIV/0!</v>
      </c>
      <c r="C69" s="123" t="e">
        <f t="shared" si="22"/>
        <v>#DIV/0!</v>
      </c>
      <c r="D69" s="124" t="e">
        <f>+IF(AG49/B35&gt;0.1131,0.1131,AG49/B35)</f>
        <v>#DIV/0!</v>
      </c>
      <c r="E69" s="117" t="e">
        <f t="shared" si="23"/>
        <v>#DIV/0!</v>
      </c>
      <c r="F69" s="117"/>
      <c r="G69" s="117"/>
      <c r="H69" s="117"/>
      <c r="I69" s="117"/>
      <c r="J69" s="117"/>
      <c r="K69" s="118" t="e">
        <f t="shared" si="21"/>
        <v>#DIV/0!</v>
      </c>
      <c r="L69" s="119"/>
      <c r="M69" s="120"/>
      <c r="N69" s="121"/>
      <c r="O69" s="122"/>
      <c r="P69" s="122"/>
      <c r="Q69" s="122"/>
      <c r="R69" s="122"/>
      <c r="S69" s="122"/>
      <c r="T69" s="122"/>
    </row>
    <row r="70" spans="1:20" ht="22.5" hidden="1" customHeight="1" x14ac:dyDescent="0.25">
      <c r="A70" s="46"/>
      <c r="B70" s="2"/>
      <c r="C70" s="2"/>
      <c r="D70" s="125" t="e">
        <f>+IF(AE52/E15&gt;0.1131,0.1131,AE52/E15)</f>
        <v>#DIV/0!</v>
      </c>
      <c r="M70" s="126" t="e">
        <f t="shared" ref="M70:M80" si="24">+K70-K69</f>
        <v>#DIV/0!</v>
      </c>
      <c r="Q70" s="127"/>
      <c r="R70" s="128">
        <f t="shared" ref="R70:R80" si="25">IF(C70&lt;5358,C70*0.9825,5358*0.9825)</f>
        <v>0</v>
      </c>
    </row>
    <row r="71" spans="1:20" ht="22.5" hidden="1" customHeight="1" x14ac:dyDescent="0.25">
      <c r="A71" s="46"/>
      <c r="B71" s="2"/>
      <c r="C71" s="2"/>
      <c r="D71" s="58" t="e">
        <f>+IF(AE53/E16&gt;0.1131,0.1131,AE53/E16)</f>
        <v>#DIV/0!</v>
      </c>
      <c r="M71" s="129">
        <f t="shared" si="24"/>
        <v>0</v>
      </c>
      <c r="Q71" s="130"/>
      <c r="R71" s="128">
        <f t="shared" si="25"/>
        <v>0</v>
      </c>
    </row>
    <row r="72" spans="1:20" ht="22.5" hidden="1" customHeight="1" x14ac:dyDescent="0.25">
      <c r="A72" s="109"/>
      <c r="B72" s="2"/>
      <c r="C72" s="2"/>
      <c r="D72" s="58" t="e">
        <f>+IF(AE54/E17&gt;0.1131,0.1131,AE54/E17)</f>
        <v>#DIV/0!</v>
      </c>
      <c r="M72" s="129">
        <f t="shared" si="24"/>
        <v>0</v>
      </c>
      <c r="Q72" s="131"/>
      <c r="R72" s="128">
        <f t="shared" si="25"/>
        <v>0</v>
      </c>
    </row>
    <row r="73" spans="1:20" ht="22.5" hidden="1" customHeight="1" x14ac:dyDescent="0.25">
      <c r="A73" s="109"/>
      <c r="B73" s="2"/>
      <c r="C73" s="2"/>
      <c r="D73" s="58" t="e">
        <f>+IF(AE55/E18&gt;0.1131,0.1131,AE55/E18)</f>
        <v>#DIV/0!</v>
      </c>
      <c r="M73" s="129">
        <f t="shared" si="24"/>
        <v>0</v>
      </c>
      <c r="Q73" s="131"/>
      <c r="R73" s="128">
        <f t="shared" si="25"/>
        <v>0</v>
      </c>
    </row>
    <row r="74" spans="1:20" ht="22.5" hidden="1" customHeight="1" x14ac:dyDescent="0.25">
      <c r="A74" s="109"/>
      <c r="B74" s="2"/>
      <c r="C74" s="2"/>
      <c r="D74" s="58" t="e">
        <f>+IF(AE56/E19&gt;0.1131,0.1131,AE56/E19)</f>
        <v>#DIV/0!</v>
      </c>
      <c r="M74" s="129">
        <f t="shared" si="24"/>
        <v>0</v>
      </c>
      <c r="Q74" s="131"/>
      <c r="R74" s="128">
        <f t="shared" si="25"/>
        <v>0</v>
      </c>
    </row>
    <row r="75" spans="1:20" ht="22.5" hidden="1" customHeight="1" x14ac:dyDescent="0.25">
      <c r="A75" s="109"/>
      <c r="B75" s="2"/>
      <c r="C75" s="2"/>
      <c r="D75" s="58" t="e">
        <f t="shared" ref="D75:D80" si="26">+IF(AE58/E21&gt;0.1131,0.1131,AE58/E21)</f>
        <v>#DIV/0!</v>
      </c>
      <c r="M75" s="129">
        <f t="shared" si="24"/>
        <v>0</v>
      </c>
      <c r="Q75" s="131"/>
      <c r="R75" s="128">
        <f t="shared" si="25"/>
        <v>0</v>
      </c>
    </row>
    <row r="76" spans="1:20" ht="22.5" hidden="1" customHeight="1" x14ac:dyDescent="0.25">
      <c r="A76" s="109"/>
      <c r="B76" s="2"/>
      <c r="C76" s="2"/>
      <c r="D76" s="58" t="e">
        <f t="shared" si="26"/>
        <v>#VALUE!</v>
      </c>
      <c r="M76" s="129">
        <f t="shared" si="24"/>
        <v>0</v>
      </c>
      <c r="Q76" s="131"/>
      <c r="R76" s="128">
        <f t="shared" si="25"/>
        <v>0</v>
      </c>
    </row>
    <row r="77" spans="1:20" ht="22.5" hidden="1" customHeight="1" x14ac:dyDescent="0.25">
      <c r="A77" s="109"/>
      <c r="B77" s="2"/>
      <c r="C77" s="2"/>
      <c r="D77" s="58" t="e">
        <f t="shared" si="26"/>
        <v>#VALUE!</v>
      </c>
      <c r="M77" s="129">
        <f t="shared" si="24"/>
        <v>0</v>
      </c>
      <c r="Q77" s="131"/>
      <c r="R77" s="128">
        <f t="shared" si="25"/>
        <v>0</v>
      </c>
    </row>
    <row r="78" spans="1:20" ht="22.5" hidden="1" customHeight="1" x14ac:dyDescent="0.25">
      <c r="A78" s="109"/>
      <c r="B78" s="2"/>
      <c r="C78" s="2"/>
      <c r="D78" s="58">
        <f t="shared" si="26"/>
        <v>0</v>
      </c>
      <c r="M78" s="129">
        <f t="shared" si="24"/>
        <v>0</v>
      </c>
      <c r="Q78" s="131"/>
      <c r="R78" s="128">
        <f t="shared" si="25"/>
        <v>0</v>
      </c>
    </row>
    <row r="79" spans="1:20" ht="22.5" hidden="1" customHeight="1" x14ac:dyDescent="0.25">
      <c r="A79" s="109"/>
      <c r="B79" s="2"/>
      <c r="C79" s="2"/>
      <c r="D79" s="58">
        <f t="shared" si="26"/>
        <v>0</v>
      </c>
      <c r="M79" s="129">
        <f t="shared" si="24"/>
        <v>0</v>
      </c>
      <c r="Q79" s="131"/>
      <c r="R79" s="128">
        <f t="shared" si="25"/>
        <v>0</v>
      </c>
    </row>
    <row r="80" spans="1:20" ht="22.5" hidden="1" customHeight="1" x14ac:dyDescent="0.25">
      <c r="A80" s="109"/>
      <c r="D80" s="58" t="e">
        <f t="shared" si="26"/>
        <v>#DIV/0!</v>
      </c>
      <c r="M80" s="129">
        <f t="shared" si="24"/>
        <v>0</v>
      </c>
      <c r="R80" s="128">
        <f t="shared" si="25"/>
        <v>0</v>
      </c>
    </row>
    <row r="81" spans="1:21" ht="20.25" customHeight="1" x14ac:dyDescent="0.25">
      <c r="A81" s="109"/>
      <c r="M81" s="132"/>
      <c r="R81" s="133"/>
    </row>
    <row r="82" spans="1:21" ht="20.25" customHeight="1" x14ac:dyDescent="0.25">
      <c r="A82" s="109"/>
      <c r="M82" s="132"/>
      <c r="R82" s="133"/>
    </row>
    <row r="83" spans="1:21" ht="20.25" customHeight="1" x14ac:dyDescent="0.25">
      <c r="A83" s="109"/>
      <c r="E83" s="153"/>
    </row>
    <row r="84" spans="1:21" ht="27" customHeight="1" x14ac:dyDescent="0.25">
      <c r="A84" s="440" t="s">
        <v>304</v>
      </c>
      <c r="B84" s="440" t="s">
        <v>268</v>
      </c>
      <c r="C84" s="440" t="s">
        <v>229</v>
      </c>
      <c r="D84" s="440" t="s">
        <v>269</v>
      </c>
      <c r="E84" s="440" t="s">
        <v>270</v>
      </c>
      <c r="F84" s="440" t="s">
        <v>271</v>
      </c>
      <c r="G84" s="110"/>
      <c r="H84" s="110"/>
      <c r="I84" s="110"/>
      <c r="J84" s="110"/>
      <c r="K84" s="110"/>
      <c r="L84" s="147" t="s">
        <v>159</v>
      </c>
      <c r="M84" s="134" t="s">
        <v>160</v>
      </c>
      <c r="N84" s="134" t="s">
        <v>149</v>
      </c>
      <c r="O84" s="134" t="s">
        <v>150</v>
      </c>
      <c r="P84" s="134" t="s">
        <v>151</v>
      </c>
      <c r="Q84" s="134" t="s">
        <v>163</v>
      </c>
      <c r="R84" s="134" t="s">
        <v>164</v>
      </c>
      <c r="S84" s="134" t="s">
        <v>165</v>
      </c>
      <c r="T84" s="134" t="s">
        <v>166</v>
      </c>
      <c r="U84" s="134" t="s">
        <v>167</v>
      </c>
    </row>
    <row r="85" spans="1:21" ht="20.25" customHeight="1" x14ac:dyDescent="0.25">
      <c r="A85" s="1049" t="s">
        <v>168</v>
      </c>
      <c r="B85" s="1049"/>
      <c r="C85" s="1049"/>
      <c r="D85" s="1049"/>
      <c r="E85" s="156">
        <f>'BP FORMAT JUILLET 2023'!J33-'BP FORMAT JUILLET 2023'!J22-'BP FORMAT JUILLET 2023'!J21-'BP FORMAT JUILLET 2023'!J20-'BP FORMAT JUILLET 2023'!J19-'BP FORMAT JUILLET 2023'!J18-'BP FORMAT JUILLET 2023'!J14-'BP FORMAT JUILLET 2023'!J17</f>
        <v>2100</v>
      </c>
      <c r="F85" s="439">
        <v>85</v>
      </c>
      <c r="G85" s="149"/>
      <c r="H85" s="149"/>
      <c r="I85" s="149"/>
      <c r="J85" s="149"/>
      <c r="K85" s="149"/>
      <c r="L85" s="148" t="e">
        <f>'[4]BP MARS   '!J74-'[4]BP MARS   '!J59-'[4]BP MARS   '!J60-'[4]BP MARS   '!J61-'[4]BP MARS   '!J62-'[4]BP MARS   '!J63-'[4]HEURES SUPPLEMENTAIRES '!G83</f>
        <v>#DIV/0!</v>
      </c>
      <c r="M85" s="135" t="e">
        <f>'[4]BP AVRIL    '!J74-M88-'[4]BP AVRIL    '!J59-'[4]BP AVRIL    '!J60-'[4]BP AVRIL    '!J61-'[4]BP AVRIL    '!J62-'[4]BP AVRIL    '!J63</f>
        <v>#DIV/0!</v>
      </c>
      <c r="N85" s="135" t="e">
        <f>'[4]BP MAI     '!J74-'[4]BP MAI     '!J59-'[4]BP MAI     '!J60-'[4]BP MAI     '!J61-'[4]BP MAI     '!J62-'[4]BP MAI     '!J63-N88</f>
        <v>#DIV/0!</v>
      </c>
      <c r="O85" s="123" t="e">
        <f>'[4]BP  JUIN '!J74-'[4]HEURES SUPPLEMENTAIRES '!J83-'[4]HEURES SUPPLEMENTAIRES '!J85</f>
        <v>#DIV/0!</v>
      </c>
      <c r="P85" s="123" t="e">
        <f>'[4]BP JUILLET '!J74-'[4]BP JUILLET '!J59-'[4]BP JUILLET '!J60-'[4]BP JUILLET '!J61-'[4]BP JUILLET '!J62-'[4]BP JUILLET '!J63-'[4]BP JUILLET '!J55-'[4]BP JUILLET '!J56-'[4]BP JUILLET '!J57-'[4]BP JUILLET '!J58-'[4]BP JUILLET '!J17</f>
        <v>#DIV/0!</v>
      </c>
      <c r="Q85" s="123" t="e">
        <f>'[4]BP AOUT '!J74-'[4]BP AOUT '!J63-'[4]BP AOUT '!J62-'[4]BP AOUT '!J61-'[4]BP AOUT '!J60-'[4]BP AOUT '!J59-'[4]HEURES SUPPLEMENTAIRES '!L83</f>
        <v>#DIV/0!</v>
      </c>
      <c r="R85" s="123" t="e">
        <f>'[4]BP SEPTEMBRE '!J74-'[4]BP SEPTEMBRE '!J63-'[4]BP SEPTEMBRE '!J62-'[4]BP SEPTEMBRE '!J61-'[4]BP SEPTEMBRE '!J60-'[4]BP SEPTEMBRE '!J59-'[4]HEURES SUPPLEMENTAIRES '!M83</f>
        <v>#DIV/0!</v>
      </c>
      <c r="S85" s="123" t="e">
        <f>'[4]BP OCTOBRE '!J74-'[4]BP OCTOBRE '!J63-'[4]BP OCTOBRE '!J62-'[4]BP OCTOBRE '!J61-'[4]BP OCTOBRE '!J60-'[4]BP OCTOBRE '!J59-'[4]HEURES SUPPLEMENTAIRES '!N83</f>
        <v>#DIV/0!</v>
      </c>
      <c r="T85" s="123" t="e">
        <f>'[4]BP NOVEMBRE '!J74-'[4]BP NOVEMBRE '!J63-'[4]BP NOVEMBRE '!J62-'[4]BP NOVEMBRE '!J61-'[4]BP NOVEMBRE '!J60-'[4]BP NOVEMBRE '!J59-'[4]HEURES SUPPLEMENTAIRES '!O83</f>
        <v>#DIV/0!</v>
      </c>
      <c r="U85" s="123" t="e">
        <f>'[4]BP DECEMBRE '!J74-'[4]BP DECEMBRE '!J63-'[4]BP DECEMBRE '!J62-'[4]BP DECEMBRE '!J61-'[4]BP DECEMBRE '!J60-'[4]BP DECEMBRE '!J59-'[4]HEURES SUPPLEMENTAIRES '!P83</f>
        <v>#DIV/0!</v>
      </c>
    </row>
    <row r="86" spans="1:21" ht="20.25" customHeight="1" x14ac:dyDescent="0.25">
      <c r="A86" s="1054" t="s">
        <v>388</v>
      </c>
      <c r="B86" s="1055"/>
      <c r="C86" s="1055"/>
      <c r="D86" s="1056"/>
      <c r="E86" s="156">
        <f>G57</f>
        <v>0</v>
      </c>
      <c r="F86" s="439">
        <v>86</v>
      </c>
      <c r="G86" s="149"/>
      <c r="H86" s="149"/>
      <c r="I86" s="149"/>
      <c r="J86" s="149"/>
      <c r="K86" s="149"/>
      <c r="L86" s="148"/>
      <c r="M86" s="135"/>
      <c r="N86" s="135"/>
      <c r="O86" s="123"/>
      <c r="P86" s="123"/>
      <c r="Q86" s="123"/>
      <c r="R86" s="123"/>
      <c r="S86" s="123"/>
      <c r="T86" s="123"/>
      <c r="U86" s="123"/>
    </row>
    <row r="87" spans="1:21" ht="20.25" customHeight="1" x14ac:dyDescent="0.25">
      <c r="A87" s="1057" t="s">
        <v>389</v>
      </c>
      <c r="B87" s="1058"/>
      <c r="C87" s="1058"/>
      <c r="D87" s="1059"/>
      <c r="E87" s="156">
        <f>E85+E86</f>
        <v>2100</v>
      </c>
      <c r="F87" s="439">
        <v>87</v>
      </c>
      <c r="G87" s="149"/>
      <c r="H87" s="149"/>
      <c r="I87" s="149"/>
      <c r="J87" s="149"/>
      <c r="K87" s="149"/>
      <c r="L87" s="148"/>
      <c r="M87" s="135"/>
      <c r="N87" s="135"/>
      <c r="O87" s="123"/>
      <c r="P87" s="123"/>
      <c r="Q87" s="123"/>
      <c r="R87" s="123"/>
      <c r="S87" s="123"/>
      <c r="T87" s="123"/>
      <c r="U87" s="123"/>
    </row>
    <row r="88" spans="1:21" ht="20.25" customHeight="1" x14ac:dyDescent="0.25">
      <c r="A88" s="1054" t="s">
        <v>19</v>
      </c>
      <c r="B88" s="1055"/>
      <c r="C88" s="1055"/>
      <c r="D88" s="1056"/>
      <c r="E88" s="156">
        <f>+'BP FORMAT JUILLET 2023'!J17</f>
        <v>0</v>
      </c>
      <c r="F88" s="439">
        <v>88</v>
      </c>
      <c r="G88" s="149"/>
      <c r="H88" s="149"/>
      <c r="I88" s="149"/>
      <c r="J88" s="149"/>
      <c r="K88" s="149"/>
      <c r="L88" s="148">
        <f>+'[4]BP MARS   '!J17+'[4]BP MARS   '!J55+'[4]BP MARS   '!J56+'[4]BP MARS   '!J57+'[4]BP MARS   '!J58</f>
        <v>0</v>
      </c>
      <c r="M88" s="135">
        <f>'[4]BP AVRIL    '!J17+'[4]BP AVRIL    '!J55+'[4]BP AVRIL    '!J56+'[4]BP AVRIL    '!J57+'[4]BP AVRIL    '!J58</f>
        <v>0</v>
      </c>
      <c r="N88" s="135">
        <f>'[4]BP MAI     '!J58+'[4]BP MAI     '!J57+'[4]BP MAI     '!J56+'[4]BP MAI     '!J55+'[4]BP MAI     '!J17</f>
        <v>0</v>
      </c>
      <c r="O88" s="123">
        <f>'[4]BP  JUIN '!J17+'[4]BP  JUIN '!J55+'[4]BP  JUIN '!J56+'[4]BP  JUIN '!J57+'[4]BP  JUIN '!J58</f>
        <v>0</v>
      </c>
      <c r="P88" s="123">
        <f>'[4]BP JUILLET '!J17+'[4]BP JUILLET '!J55+'[4]BP JUILLET '!J56+'[4]BP JUILLET '!J57+'[4]BP JUILLET '!J58</f>
        <v>0</v>
      </c>
      <c r="Q88" s="123">
        <f>'[4]BP AOUT '!J17+'[4]BP AOUT '!J55+'[4]BP AOUT '!J56+'[4]BP AOUT '!J57+'[4]BP AOUT '!J58</f>
        <v>0</v>
      </c>
      <c r="R88" s="123">
        <f>'[4]BP SEPTEMBRE '!J17+'[4]BP SEPTEMBRE '!J55+'[4]BP SEPTEMBRE '!J56+'[4]BP SEPTEMBRE '!J57+'[4]BP SEPTEMBRE '!J58</f>
        <v>0</v>
      </c>
      <c r="S88" s="123">
        <f>'[4]BP OCTOBRE '!J17+'[4]BP OCTOBRE '!J55+'[4]BP OCTOBRE '!J56+'[4]BP OCTOBRE '!J57+'[4]BP OCTOBRE '!J58</f>
        <v>0</v>
      </c>
      <c r="T88" s="123">
        <f>'[4]BP NOVEMBRE '!J17+'[4]BP NOVEMBRE '!J55+'[4]BP NOVEMBRE '!J56+'[4]BP NOVEMBRE '!J57+'[4]BP NOVEMBRE '!J58</f>
        <v>0</v>
      </c>
      <c r="U88" s="123">
        <f>'[4]BP DECEMBRE '!J17+'[4]BP DECEMBRE '!J55+'[4]BP DECEMBRE '!J56+'[4]BP DECEMBRE '!J57+'[4]BP DECEMBRE '!J58</f>
        <v>0</v>
      </c>
    </row>
    <row r="89" spans="1:21" ht="20.25" customHeight="1" x14ac:dyDescent="0.25">
      <c r="A89" s="1054" t="s">
        <v>403</v>
      </c>
      <c r="B89" s="1055"/>
      <c r="C89" s="1055"/>
      <c r="D89" s="1056"/>
      <c r="E89" s="156">
        <f>+'BP FORMAT JUILLET 2023'!J14</f>
        <v>0</v>
      </c>
      <c r="F89" s="439">
        <v>89</v>
      </c>
      <c r="G89" s="149"/>
      <c r="H89" s="149"/>
      <c r="I89" s="149"/>
      <c r="J89" s="149"/>
      <c r="K89" s="149"/>
      <c r="L89" s="148"/>
      <c r="M89" s="135"/>
      <c r="N89" s="135"/>
      <c r="O89" s="123"/>
      <c r="P89" s="123"/>
      <c r="Q89" s="123"/>
      <c r="R89" s="123"/>
      <c r="S89" s="123"/>
      <c r="T89" s="123"/>
      <c r="U89" s="123"/>
    </row>
    <row r="90" spans="1:21" ht="20.25" customHeight="1" x14ac:dyDescent="0.25">
      <c r="A90" s="1054" t="s">
        <v>307</v>
      </c>
      <c r="B90" s="1055"/>
      <c r="C90" s="1055"/>
      <c r="D90" s="1056"/>
      <c r="E90" s="156">
        <f>E88+E89</f>
        <v>0</v>
      </c>
      <c r="F90" s="439">
        <v>90</v>
      </c>
      <c r="G90" s="149"/>
      <c r="H90" s="149"/>
      <c r="I90" s="149"/>
      <c r="J90" s="149"/>
      <c r="K90" s="149"/>
      <c r="L90" s="148">
        <f t="shared" ref="L90:U90" si="27">L88+K90</f>
        <v>0</v>
      </c>
      <c r="M90" s="135">
        <f t="shared" si="27"/>
        <v>0</v>
      </c>
      <c r="N90" s="135">
        <f t="shared" si="27"/>
        <v>0</v>
      </c>
      <c r="O90" s="135">
        <f t="shared" si="27"/>
        <v>0</v>
      </c>
      <c r="P90" s="135">
        <f t="shared" si="27"/>
        <v>0</v>
      </c>
      <c r="Q90" s="135">
        <f t="shared" si="27"/>
        <v>0</v>
      </c>
      <c r="R90" s="135">
        <f t="shared" si="27"/>
        <v>0</v>
      </c>
      <c r="S90" s="135">
        <f t="shared" si="27"/>
        <v>0</v>
      </c>
      <c r="T90" s="135">
        <f t="shared" si="27"/>
        <v>0</v>
      </c>
      <c r="U90" s="135">
        <f t="shared" si="27"/>
        <v>0</v>
      </c>
    </row>
    <row r="91" spans="1:21" ht="24" customHeight="1" x14ac:dyDescent="0.25">
      <c r="A91" s="1049" t="s">
        <v>169</v>
      </c>
      <c r="B91" s="1049"/>
      <c r="C91" s="1049"/>
      <c r="D91" s="1049"/>
      <c r="E91" s="156">
        <f>E57</f>
        <v>173.07</v>
      </c>
      <c r="F91" s="439">
        <v>91</v>
      </c>
      <c r="G91" s="149"/>
      <c r="H91" s="149"/>
      <c r="I91" s="149"/>
      <c r="J91" s="149"/>
      <c r="K91" s="149"/>
      <c r="L91" s="148" t="e">
        <f>+'[4]BP MARS   '!J59+'[4]BP MARS   '!J60+'[4]BP MARS   '!J61+'[4]BP MARS   '!J62+'[4]BP MARS   '!J63</f>
        <v>#DIV/0!</v>
      </c>
      <c r="M91" s="135" t="e">
        <f>+'[4]BP AVRIL    '!J59+'[4]BP AVRIL    '!J60+'[4]BP AVRIL    '!J61+'[4]BP AVRIL    '!J62+'[4]BP AVRIL    '!J63</f>
        <v>#DIV/0!</v>
      </c>
      <c r="N91" s="135" t="e">
        <f>+'[4]BP MAI     '!J59+'[4]BP MAI     '!J60+'[4]BP MAI     '!J61+'[4]BP MAI     '!J62+'[4]BP MAI     '!J63</f>
        <v>#DIV/0!</v>
      </c>
      <c r="O91" s="123" t="e">
        <f>'[4]BP  JUIN '!J59+'[4]BP  JUIN '!J60+'[4]BP  JUIN '!J61+'[4]BP  JUIN '!J62+'[4]BP  JUIN '!J63</f>
        <v>#DIV/0!</v>
      </c>
      <c r="P91" s="123" t="e">
        <f>'[4]BP JUILLET '!J59+'[4]BP JUILLET '!J60+'[4]BP JUILLET '!J61+'[4]BP JUILLET '!J62+'[4]BP JUILLET '!J63</f>
        <v>#DIV/0!</v>
      </c>
      <c r="Q91" s="123" t="e">
        <f>'[4]BP AOUT '!J59+'[4]BP AOUT '!J60+'[4]BP AOUT '!J61+'[4]BP AOUT '!J62+'[4]BP AOUT '!J63</f>
        <v>#DIV/0!</v>
      </c>
      <c r="R91" s="123" t="e">
        <f>'[4]BP SEPTEMBRE '!J59+'[4]BP SEPTEMBRE '!J60+'[4]BP SEPTEMBRE '!J61+'[4]BP SEPTEMBRE '!J62+'[4]BP SEPTEMBRE '!J63</f>
        <v>#DIV/0!</v>
      </c>
      <c r="S91" s="123" t="e">
        <f>'[4]BP OCTOBRE '!J59+'[4]BP OCTOBRE '!J60+'[4]BP OCTOBRE '!J61+'[4]BP OCTOBRE '!J62+'[4]BP OCTOBRE '!J63</f>
        <v>#DIV/0!</v>
      </c>
      <c r="T91" s="123" t="e">
        <f>'[4]BP NOVEMBRE '!J59+'[4]BP NOVEMBRE '!J60+'[4]BP NOVEMBRE '!J61+'[4]BP NOVEMBRE '!J62+'[4]BP NOVEMBRE '!J63</f>
        <v>#DIV/0!</v>
      </c>
      <c r="U91" s="123" t="e">
        <f>'[4]BP DECEMBRE '!J59+'[4]BP DECEMBRE '!J60+'[4]BP DECEMBRE '!J61+'[4]BP DECEMBRE '!J62+'[4]BP DECEMBRE '!J63</f>
        <v>#DIV/0!</v>
      </c>
    </row>
    <row r="92" spans="1:21" ht="24" customHeight="1" x14ac:dyDescent="0.25">
      <c r="A92" s="1049" t="s">
        <v>405</v>
      </c>
      <c r="B92" s="1049"/>
      <c r="C92" s="1049"/>
      <c r="D92" s="1049"/>
      <c r="E92" s="156">
        <f>'BP FORMAT JUILLET 2023'!F66</f>
        <v>146.47999999999999</v>
      </c>
      <c r="F92" s="439"/>
      <c r="G92" s="149"/>
      <c r="H92" s="149"/>
      <c r="I92" s="149"/>
      <c r="J92" s="149"/>
      <c r="K92" s="149"/>
      <c r="L92" s="148" t="e">
        <f>'[4]BP MARS   '!F105</f>
        <v>#DIV/0!</v>
      </c>
      <c r="M92" s="135" t="e">
        <f>'[4]BP AVRIL    '!F105</f>
        <v>#DIV/0!</v>
      </c>
      <c r="N92" s="135" t="e">
        <f>'[4]BP MAI     '!F105</f>
        <v>#DIV/0!</v>
      </c>
      <c r="O92" s="123" t="e">
        <f>+'[4]BP  JUIN '!F105</f>
        <v>#DIV/0!</v>
      </c>
      <c r="P92" s="123" t="e">
        <f>'[4]BP JUILLET '!F105</f>
        <v>#DIV/0!</v>
      </c>
      <c r="Q92" s="123" t="e">
        <f>'[4]BP AOUT '!F105</f>
        <v>#DIV/0!</v>
      </c>
      <c r="R92" s="123" t="e">
        <f>'[4]BP SEPTEMBRE '!F105</f>
        <v>#DIV/0!</v>
      </c>
      <c r="S92" s="123" t="e">
        <f>'[4]BP OCTOBRE '!F105</f>
        <v>#DIV/0!</v>
      </c>
      <c r="T92" s="123" t="e">
        <f>'[4]BP NOVEMBRE '!F105</f>
        <v>#DIV/0!</v>
      </c>
      <c r="U92" s="123" t="e">
        <f>'[4]BP DECEMBRE '!F105</f>
        <v>#DIV/0!</v>
      </c>
    </row>
    <row r="93" spans="1:21" ht="24" customHeight="1" x14ac:dyDescent="0.25">
      <c r="A93" s="1049" t="s">
        <v>170</v>
      </c>
      <c r="B93" s="1049"/>
      <c r="C93" s="1049"/>
      <c r="D93" s="1049"/>
      <c r="E93" s="156">
        <f>'BP FORMAT JUILLET 2023'!F67</f>
        <v>62.47</v>
      </c>
      <c r="F93" s="439"/>
      <c r="G93" s="149"/>
      <c r="H93" s="149"/>
      <c r="I93" s="149"/>
      <c r="J93" s="149"/>
      <c r="K93" s="149"/>
      <c r="L93" s="148" t="e">
        <f>'[4]BP MARS   '!F106</f>
        <v>#DIV/0!</v>
      </c>
      <c r="M93" s="135" t="e">
        <f>'[4]BP AVRIL    '!F106</f>
        <v>#DIV/0!</v>
      </c>
      <c r="N93" s="135" t="e">
        <f>'[4]BP MAI     '!F106</f>
        <v>#DIV/0!</v>
      </c>
      <c r="O93" s="123" t="e">
        <f>+'[4]BP  JUIN '!F106</f>
        <v>#DIV/0!</v>
      </c>
      <c r="P93" s="123" t="e">
        <f>'[4]BP JUILLET '!F106</f>
        <v>#DIV/0!</v>
      </c>
      <c r="Q93" s="123" t="e">
        <f>'[4]BP AOUT '!F106</f>
        <v>#DIV/0!</v>
      </c>
      <c r="R93" s="123" t="e">
        <f>'[4]BP SEPTEMBRE '!F106</f>
        <v>#DIV/0!</v>
      </c>
      <c r="S93" s="123" t="e">
        <f>'[4]BP OCTOBRE '!F106</f>
        <v>#DIV/0!</v>
      </c>
      <c r="T93" s="123" t="e">
        <f>'[4]BP NOVEMBRE '!F106</f>
        <v>#DIV/0!</v>
      </c>
      <c r="U93" s="123" t="e">
        <f>'[4]BP DECEMBRE '!F106</f>
        <v>#DIV/0!</v>
      </c>
    </row>
    <row r="94" spans="1:21" ht="24" customHeight="1" x14ac:dyDescent="0.25">
      <c r="A94" s="1049" t="s">
        <v>171</v>
      </c>
      <c r="B94" s="1049"/>
      <c r="C94" s="1049"/>
      <c r="D94" s="1049"/>
      <c r="E94" s="156">
        <f>'BP FORMAT JUILLET 2023'!F68</f>
        <v>11.56</v>
      </c>
      <c r="F94" s="439"/>
      <c r="G94" s="149"/>
      <c r="H94" s="149"/>
      <c r="I94" s="149"/>
      <c r="J94" s="149"/>
      <c r="K94" s="149"/>
      <c r="L94" s="148" t="e">
        <f>'[4]BP MARS   '!F107</f>
        <v>#DIV/0!</v>
      </c>
      <c r="M94" s="135" t="e">
        <f>'[4]BP AVRIL    '!F107</f>
        <v>#DIV/0!</v>
      </c>
      <c r="N94" s="135" t="e">
        <f>'[4]BP MAI     '!F107</f>
        <v>#DIV/0!</v>
      </c>
      <c r="O94" s="123" t="e">
        <f>+'[4]BP  JUIN '!F107</f>
        <v>#DIV/0!</v>
      </c>
      <c r="P94" s="123" t="e">
        <f>'[4]BP JUILLET '!F107</f>
        <v>#DIV/0!</v>
      </c>
      <c r="Q94" s="123" t="e">
        <f>'[4]BP AOUT '!F107</f>
        <v>#DIV/0!</v>
      </c>
      <c r="R94" s="123" t="e">
        <f>'[4]BP SEPTEMBRE '!F107</f>
        <v>#DIV/0!</v>
      </c>
      <c r="S94" s="123" t="e">
        <f>'[4]BP OCTOBRE '!F107</f>
        <v>#DIV/0!</v>
      </c>
      <c r="T94" s="123" t="e">
        <f>'[4]BP NOVEMBRE '!F107</f>
        <v>#DIV/0!</v>
      </c>
      <c r="U94" s="123" t="e">
        <f>'[4]BP DECEMBRE '!F107</f>
        <v>#DIV/0!</v>
      </c>
    </row>
    <row r="95" spans="1:21" ht="24" customHeight="1" x14ac:dyDescent="0.25">
      <c r="A95" s="1049" t="s">
        <v>172</v>
      </c>
      <c r="B95" s="1049"/>
      <c r="C95" s="1049"/>
      <c r="D95" s="1049"/>
      <c r="E95" s="156">
        <f>'BP FORMAT JUILLET 2023'!F69</f>
        <v>0</v>
      </c>
      <c r="F95" s="439"/>
      <c r="G95" s="149"/>
      <c r="H95" s="149"/>
      <c r="I95" s="149"/>
      <c r="J95" s="149"/>
      <c r="K95" s="149"/>
      <c r="L95" s="148">
        <f>'[4]BP MARS   '!F108</f>
        <v>0</v>
      </c>
      <c r="M95" s="135">
        <f>'[4]BP AVRIL    '!F108</f>
        <v>0</v>
      </c>
      <c r="N95" s="135" t="e">
        <f>'[4]BP MAI     '!F108</f>
        <v>#DIV/0!</v>
      </c>
      <c r="O95" s="123" t="e">
        <f>+'[4]BP  JUIN '!F108</f>
        <v>#DIV/0!</v>
      </c>
      <c r="P95" s="123" t="e">
        <f>'[4]BP JUILLET '!F108</f>
        <v>#DIV/0!</v>
      </c>
      <c r="Q95" s="123" t="e">
        <f>'[4]BP AOUT '!F108</f>
        <v>#DIV/0!</v>
      </c>
      <c r="R95" s="123" t="e">
        <f>'[4]BP SEPTEMBRE '!F108</f>
        <v>#DIV/0!</v>
      </c>
      <c r="S95" s="123" t="e">
        <f>'[4]BP OCTOBRE '!F108</f>
        <v>#DIV/0!</v>
      </c>
      <c r="T95" s="123" t="e">
        <f>'[4]BP NOVEMBRE '!F108</f>
        <v>#DIV/0!</v>
      </c>
      <c r="U95" s="123" t="e">
        <f>'[4]BP DECEMBRE '!F108</f>
        <v>#DIV/0!</v>
      </c>
    </row>
    <row r="96" spans="1:21" ht="24" customHeight="1" x14ac:dyDescent="0.25">
      <c r="A96" s="1049" t="s">
        <v>173</v>
      </c>
      <c r="B96" s="1049"/>
      <c r="C96" s="1049"/>
      <c r="D96" s="1049"/>
      <c r="E96" s="156">
        <f>'BP FORMAT JUILLET 2023'!F70</f>
        <v>4.93</v>
      </c>
      <c r="F96" s="439"/>
      <c r="G96" s="149"/>
      <c r="H96" s="149"/>
      <c r="I96" s="149"/>
      <c r="J96" s="149"/>
      <c r="K96" s="149"/>
      <c r="L96" s="148" t="e">
        <f>'[4]BP MARS   '!F109</f>
        <v>#DIV/0!</v>
      </c>
      <c r="M96" s="135" t="e">
        <f>'[4]BP AVRIL    '!F109</f>
        <v>#DIV/0!</v>
      </c>
      <c r="N96" s="135" t="e">
        <f>'[4]BP MAI     '!F109</f>
        <v>#DIV/0!</v>
      </c>
      <c r="O96" s="123" t="e">
        <f>+'[4]BP  JUIN '!F109</f>
        <v>#DIV/0!</v>
      </c>
      <c r="P96" s="123" t="e">
        <f>'[4]BP JUILLET '!F109</f>
        <v>#DIV/0!</v>
      </c>
      <c r="Q96" s="123" t="e">
        <f>'[4]BP AOUT '!F109</f>
        <v>#DIV/0!</v>
      </c>
      <c r="R96" s="123" t="e">
        <f>'[4]BP SEPTEMBRE '!F109</f>
        <v>#DIV/0!</v>
      </c>
      <c r="S96" s="123" t="e">
        <f>'[4]BP OCTOBRE '!F109</f>
        <v>#DIV/0!</v>
      </c>
      <c r="T96" s="123" t="e">
        <f>'[4]BP NOVEMBRE '!F109</f>
        <v>#DIV/0!</v>
      </c>
      <c r="U96" s="123" t="e">
        <f>'[4]BP DECEMBRE '!F109</f>
        <v>#DIV/0!</v>
      </c>
    </row>
    <row r="97" spans="1:21" ht="24" customHeight="1" x14ac:dyDescent="0.25">
      <c r="A97" s="1049" t="s">
        <v>174</v>
      </c>
      <c r="B97" s="1049"/>
      <c r="C97" s="1049"/>
      <c r="D97" s="1049"/>
      <c r="E97" s="156">
        <f>'BP FORMAT JUILLET 2023'!F73+'BP FORMAT JUILLET 2023'!F76+'BP FORMAT JUILLET 2023'!F78+'BP FORMAT JUILLET 2023'!F75+'BP FORMAT JUILLET 2023'!F44</f>
        <v>486.23000000000008</v>
      </c>
      <c r="F97" s="439"/>
      <c r="G97" s="149"/>
      <c r="H97" s="149"/>
      <c r="I97" s="149"/>
      <c r="J97" s="149"/>
      <c r="K97" s="149"/>
      <c r="L97" s="148" t="e">
        <f>'[4]BP MARS   '!F113</f>
        <v>#DIV/0!</v>
      </c>
      <c r="M97" s="135" t="e">
        <f>'[4]BP AVRIL    '!F113</f>
        <v>#DIV/0!</v>
      </c>
      <c r="N97" s="135" t="e">
        <f>'[4]BP MAI     '!F113</f>
        <v>#DIV/0!</v>
      </c>
      <c r="O97" s="123" t="e">
        <f>+'[4]BP  JUIN '!F113</f>
        <v>#DIV/0!</v>
      </c>
      <c r="P97" s="123" t="e">
        <f>'[4]BP JUILLET '!F113</f>
        <v>#DIV/0!</v>
      </c>
      <c r="Q97" s="123" t="e">
        <f>'[4]BP AOUT '!F113</f>
        <v>#DIV/0!</v>
      </c>
      <c r="R97" s="123" t="e">
        <f>'[4]BP SEPTEMBRE '!F113</f>
        <v>#DIV/0!</v>
      </c>
      <c r="S97" s="123" t="e">
        <f>'[4]BP OCTOBRE '!F113</f>
        <v>#DIV/0!</v>
      </c>
      <c r="T97" s="123" t="e">
        <f>'[4]BP NOVEMBRE '!F113</f>
        <v>#DIV/0!</v>
      </c>
      <c r="U97" s="123" t="e">
        <f>'[4]BP DECEMBRE '!F113</f>
        <v>#DIV/0!</v>
      </c>
    </row>
    <row r="98" spans="1:21" ht="24" customHeight="1" x14ac:dyDescent="0.25">
      <c r="A98" s="1049" t="s">
        <v>175</v>
      </c>
      <c r="B98" s="1049"/>
      <c r="C98" s="1049"/>
      <c r="D98" s="1049"/>
      <c r="E98" s="156">
        <f>'BP FORMAT JUILLET 2023'!G40+'BP FORMAT JUILLET 2023'!G43</f>
        <v>45.46</v>
      </c>
      <c r="F98" s="439">
        <v>98</v>
      </c>
      <c r="G98" s="149"/>
      <c r="H98" s="149"/>
      <c r="I98" s="149"/>
      <c r="J98" s="149"/>
      <c r="K98" s="149"/>
      <c r="L98" s="148" t="e">
        <f>'[4]BP MARS   '!G79+'[4]BP MARS   '!G80+'[4]BP MARS   '!G82+'[4]BP MARS   '!G83</f>
        <v>#DIV/0!</v>
      </c>
      <c r="M98" s="135" t="e">
        <f>'[4]BP AVRIL    '!G79+'[4]BP AVRIL    '!G80+'[4]BP AVRIL    '!G82+'[4]BP AVRIL    '!G83</f>
        <v>#DIV/0!</v>
      </c>
      <c r="N98" s="135" t="e">
        <f>'[4]BP MAI     '!G79+'[4]BP MAI     '!G80+'[4]BP MAI     '!G82+'[4]BP MAI     '!G83</f>
        <v>#DIV/0!</v>
      </c>
      <c r="O98" s="123" t="e">
        <f>+'[4]BP  JUIN '!G79+'[4]BP  JUIN '!G80+'[4]BP  JUIN '!G82+'[4]BP  JUIN '!G83</f>
        <v>#DIV/0!</v>
      </c>
      <c r="P98" s="123" t="e">
        <f>'[4]BP JUILLET '!G79+'[4]BP JUILLET '!G80+'[4]BP JUILLET '!G82+'[4]BP JUILLET '!G83</f>
        <v>#DIV/0!</v>
      </c>
      <c r="Q98" s="123" t="e">
        <f>'[4]BP AOUT '!G79+'[4]BP AOUT '!G80+'[4]BP AOUT '!G82+'[4]BP AOUT '!G83</f>
        <v>#DIV/0!</v>
      </c>
      <c r="R98" s="123" t="e">
        <f>'[4]BP SEPTEMBRE '!G79+'[4]BP SEPTEMBRE '!G80+'[4]BP SEPTEMBRE '!G82+'[4]BP SEPTEMBRE '!G83</f>
        <v>#DIV/0!</v>
      </c>
      <c r="S98" s="123" t="e">
        <f>'[4]BP OCTOBRE '!G79+'[4]BP OCTOBRE '!G80+'[4]BP OCTOBRE '!G82+'[4]BP OCTOBRE '!G83</f>
        <v>#DIV/0!</v>
      </c>
      <c r="T98" s="123" t="e">
        <f>'[4]BP NOVEMBRE '!G79+'[4]BP NOVEMBRE '!G80+'[4]BP NOVEMBRE '!G82+'[4]BP NOVEMBRE '!G83</f>
        <v>#DIV/0!</v>
      </c>
      <c r="U98" s="123" t="e">
        <f>'[4]BP DECEMBRE '!G79+'[4]BP DECEMBRE '!G80+'[4]BP DECEMBRE '!G82+'[4]BP DECEMBRE '!G83</f>
        <v>#DIV/0!</v>
      </c>
    </row>
    <row r="99" spans="1:21" ht="24" customHeight="1" x14ac:dyDescent="0.25">
      <c r="A99" s="1049" t="s">
        <v>399</v>
      </c>
      <c r="B99" s="1049"/>
      <c r="C99" s="1049"/>
      <c r="D99" s="1049"/>
      <c r="E99" s="441">
        <f>'BP FORMAT JUILLET 2023'!G76+'BP FORMAT JUILLET 2023'!G78+'BP FORMAT JUILLET 2023'!G44+'BP FORMAT JUILLET 2023'!G75</f>
        <v>45.46</v>
      </c>
      <c r="F99" s="439">
        <v>99</v>
      </c>
      <c r="G99" s="53"/>
      <c r="H99" s="53"/>
      <c r="I99" s="53"/>
      <c r="J99" s="53"/>
      <c r="K99" s="53"/>
      <c r="L99" s="53"/>
    </row>
    <row r="100" spans="1:21" ht="24" customHeight="1" x14ac:dyDescent="0.25">
      <c r="A100" s="873" t="s">
        <v>236</v>
      </c>
      <c r="B100" s="873"/>
      <c r="C100" s="873"/>
      <c r="D100" s="873"/>
      <c r="E100" s="442">
        <f>E85+E86+E90+E93+E94+E96-E97+E98+E104</f>
        <v>1738.1899999999996</v>
      </c>
      <c r="F100" s="53"/>
      <c r="G100" s="53"/>
      <c r="H100" s="53"/>
      <c r="I100" s="53"/>
      <c r="J100" s="53"/>
      <c r="K100" s="53"/>
      <c r="L100" s="53"/>
    </row>
    <row r="101" spans="1:21" ht="20.25" customHeight="1" x14ac:dyDescent="0.25">
      <c r="C101" s="53"/>
      <c r="E101" s="53"/>
      <c r="F101" s="53"/>
      <c r="G101" s="53"/>
      <c r="H101" s="53"/>
      <c r="I101" s="53"/>
      <c r="J101" s="53"/>
      <c r="K101" s="53"/>
      <c r="L101" s="53"/>
    </row>
    <row r="102" spans="1:21" ht="20.25" customHeight="1" x14ac:dyDescent="0.25">
      <c r="C102" s="53"/>
      <c r="E102" s="53"/>
      <c r="F102" s="53"/>
      <c r="G102" s="53"/>
      <c r="H102" s="53"/>
      <c r="I102" s="53"/>
      <c r="J102" s="53"/>
      <c r="K102" s="53"/>
      <c r="L102" s="53"/>
    </row>
    <row r="103" spans="1:21" ht="20.25" customHeight="1" x14ac:dyDescent="0.25">
      <c r="A103" s="1049" t="s">
        <v>232</v>
      </c>
      <c r="B103" s="1049"/>
      <c r="C103" s="1049"/>
      <c r="D103" s="1049"/>
      <c r="E103" s="157">
        <f>+E111</f>
        <v>0</v>
      </c>
      <c r="F103" s="157">
        <f>F111</f>
        <v>0</v>
      </c>
      <c r="G103" s="157"/>
      <c r="H103" s="157"/>
      <c r="I103" s="157"/>
      <c r="J103" s="157"/>
      <c r="K103" s="157">
        <f>+K111</f>
        <v>0</v>
      </c>
      <c r="L103" s="1" t="e">
        <f t="shared" ref="L103:U103" si="28">+L111</f>
        <v>#DIV/0!</v>
      </c>
      <c r="M103" s="136" t="e">
        <f t="shared" si="28"/>
        <v>#DIV/0!</v>
      </c>
      <c r="N103" s="136" t="e">
        <f t="shared" si="28"/>
        <v>#DIV/0!</v>
      </c>
      <c r="O103" s="136" t="e">
        <f t="shared" si="28"/>
        <v>#DIV/0!</v>
      </c>
      <c r="P103" s="136" t="e">
        <f t="shared" si="28"/>
        <v>#DIV/0!</v>
      </c>
      <c r="Q103" s="136" t="e">
        <f t="shared" si="28"/>
        <v>#DIV/0!</v>
      </c>
      <c r="R103" s="136" t="e">
        <f t="shared" si="28"/>
        <v>#DIV/0!</v>
      </c>
      <c r="S103" s="136" t="e">
        <f t="shared" si="28"/>
        <v>#DIV/0!</v>
      </c>
      <c r="T103" s="136" t="e">
        <f t="shared" si="28"/>
        <v>#DIV/0!</v>
      </c>
      <c r="U103" s="136" t="e">
        <f t="shared" si="28"/>
        <v>#DIV/0!</v>
      </c>
    </row>
    <row r="104" spans="1:21" ht="20.25" customHeight="1" x14ac:dyDescent="0.25">
      <c r="A104" s="1054" t="s">
        <v>199</v>
      </c>
      <c r="B104" s="1055"/>
      <c r="C104" s="1055"/>
      <c r="D104" s="1056"/>
      <c r="E104" s="157"/>
      <c r="F104" s="157"/>
      <c r="G104" s="157"/>
      <c r="H104" s="157"/>
      <c r="I104" s="157"/>
      <c r="J104" s="157"/>
      <c r="K104" s="157"/>
      <c r="L104" s="1"/>
      <c r="M104" s="136"/>
      <c r="N104" s="136"/>
      <c r="O104" s="136"/>
      <c r="P104" s="136"/>
      <c r="Q104" s="136"/>
      <c r="R104" s="136"/>
      <c r="S104" s="136"/>
      <c r="T104" s="136"/>
      <c r="U104" s="136"/>
    </row>
    <row r="105" spans="1:21" ht="20.25" customHeight="1" x14ac:dyDescent="0.25">
      <c r="A105" s="1049" t="s">
        <v>65</v>
      </c>
      <c r="B105" s="1049"/>
      <c r="C105" s="1049"/>
      <c r="D105" s="1049"/>
      <c r="E105" s="157"/>
      <c r="F105" s="157"/>
      <c r="G105" s="157"/>
      <c r="H105" s="157"/>
      <c r="I105" s="157"/>
      <c r="J105" s="157"/>
      <c r="K105" s="157">
        <f t="shared" ref="K105:U105" si="29">K85-K97+K98+K93+K96+K94+K88+K103</f>
        <v>0</v>
      </c>
      <c r="L105" s="137" t="e">
        <f t="shared" si="29"/>
        <v>#DIV/0!</v>
      </c>
      <c r="M105" s="137" t="e">
        <f t="shared" si="29"/>
        <v>#DIV/0!</v>
      </c>
      <c r="N105" s="137" t="e">
        <f t="shared" si="29"/>
        <v>#DIV/0!</v>
      </c>
      <c r="O105" s="137" t="e">
        <f t="shared" si="29"/>
        <v>#DIV/0!</v>
      </c>
      <c r="P105" s="137" t="e">
        <f t="shared" si="29"/>
        <v>#DIV/0!</v>
      </c>
      <c r="Q105" s="137" t="e">
        <f t="shared" si="29"/>
        <v>#DIV/0!</v>
      </c>
      <c r="R105" s="137" t="e">
        <f t="shared" si="29"/>
        <v>#DIV/0!</v>
      </c>
      <c r="S105" s="137" t="e">
        <f t="shared" si="29"/>
        <v>#DIV/0!</v>
      </c>
      <c r="T105" s="137" t="e">
        <f t="shared" si="29"/>
        <v>#DIV/0!</v>
      </c>
      <c r="U105" s="137" t="e">
        <f t="shared" si="29"/>
        <v>#DIV/0!</v>
      </c>
    </row>
    <row r="107" spans="1:21" ht="30.75" customHeight="1" x14ac:dyDescent="0.25">
      <c r="E107" s="155" t="s">
        <v>204</v>
      </c>
      <c r="F107" s="155"/>
      <c r="G107" s="153"/>
      <c r="H107" s="153"/>
      <c r="I107" s="153"/>
      <c r="J107" s="153"/>
      <c r="K107" s="153"/>
      <c r="L107" s="150" t="s">
        <v>159</v>
      </c>
      <c r="M107" s="138" t="s">
        <v>160</v>
      </c>
      <c r="N107" s="138" t="s">
        <v>149</v>
      </c>
      <c r="O107" s="138" t="s">
        <v>150</v>
      </c>
      <c r="P107" s="138" t="s">
        <v>162</v>
      </c>
      <c r="Q107" s="138" t="s">
        <v>163</v>
      </c>
      <c r="R107" s="138" t="s">
        <v>164</v>
      </c>
      <c r="S107" s="138" t="s">
        <v>165</v>
      </c>
      <c r="T107" s="138" t="s">
        <v>166</v>
      </c>
      <c r="U107" s="138" t="s">
        <v>167</v>
      </c>
    </row>
    <row r="108" spans="1:21" ht="20.25" customHeight="1" x14ac:dyDescent="0.25">
      <c r="A108" s="1049" t="s">
        <v>176</v>
      </c>
      <c r="B108" s="1049"/>
      <c r="C108" s="1049"/>
      <c r="D108" s="1049"/>
      <c r="E108" s="139">
        <f>C57</f>
        <v>173.07</v>
      </c>
      <c r="F108" s="139"/>
      <c r="G108" s="154"/>
      <c r="H108" s="154"/>
      <c r="I108" s="154"/>
      <c r="J108" s="154"/>
      <c r="K108" s="105"/>
      <c r="L108" s="151" t="e">
        <f>C60</f>
        <v>#DIV/0!</v>
      </c>
      <c r="M108" s="139" t="e">
        <f>C61</f>
        <v>#DIV/0!</v>
      </c>
      <c r="N108" s="139" t="e">
        <f>C62</f>
        <v>#DIV/0!</v>
      </c>
      <c r="O108" s="139" t="e">
        <f>C63</f>
        <v>#DIV/0!</v>
      </c>
      <c r="P108" s="139" t="e">
        <f>C64</f>
        <v>#DIV/0!</v>
      </c>
      <c r="Q108" s="141" t="e">
        <f>C65</f>
        <v>#DIV/0!</v>
      </c>
      <c r="R108" s="141" t="e">
        <f>C66</f>
        <v>#DIV/0!</v>
      </c>
      <c r="S108" s="141" t="e">
        <f>+C67</f>
        <v>#DIV/0!</v>
      </c>
      <c r="T108" s="141" t="e">
        <f>C68</f>
        <v>#DIV/0!</v>
      </c>
      <c r="U108" s="141" t="e">
        <f>C69</f>
        <v>#DIV/0!</v>
      </c>
    </row>
    <row r="109" spans="1:21" ht="20.25" customHeight="1" x14ac:dyDescent="0.25">
      <c r="A109" s="1049" t="s">
        <v>177</v>
      </c>
      <c r="B109" s="1049"/>
      <c r="C109" s="1049"/>
      <c r="D109" s="1049"/>
      <c r="E109" s="139">
        <f>E108</f>
        <v>173.07</v>
      </c>
      <c r="F109" s="139"/>
      <c r="G109" s="154"/>
      <c r="H109" s="154"/>
      <c r="I109" s="154"/>
      <c r="J109" s="154"/>
      <c r="K109" s="154"/>
      <c r="L109" s="151" t="e">
        <f t="shared" ref="L109:U109" si="30">L108-K108</f>
        <v>#DIV/0!</v>
      </c>
      <c r="M109" s="139" t="e">
        <f t="shared" si="30"/>
        <v>#DIV/0!</v>
      </c>
      <c r="N109" s="139" t="e">
        <f t="shared" si="30"/>
        <v>#DIV/0!</v>
      </c>
      <c r="O109" s="139" t="e">
        <f t="shared" si="30"/>
        <v>#DIV/0!</v>
      </c>
      <c r="P109" s="141" t="e">
        <f t="shared" si="30"/>
        <v>#DIV/0!</v>
      </c>
      <c r="Q109" s="141" t="e">
        <f t="shared" si="30"/>
        <v>#DIV/0!</v>
      </c>
      <c r="R109" s="141" t="e">
        <f t="shared" si="30"/>
        <v>#DIV/0!</v>
      </c>
      <c r="S109" s="141" t="e">
        <f t="shared" si="30"/>
        <v>#DIV/0!</v>
      </c>
      <c r="T109" s="141" t="e">
        <f t="shared" si="30"/>
        <v>#DIV/0!</v>
      </c>
      <c r="U109" s="141" t="e">
        <f t="shared" si="30"/>
        <v>#DIV/0!</v>
      </c>
    </row>
    <row r="110" spans="1:21" ht="20.25" customHeight="1" x14ac:dyDescent="0.25">
      <c r="A110" s="1049" t="s">
        <v>233</v>
      </c>
      <c r="B110" s="1049"/>
      <c r="C110" s="1049"/>
      <c r="D110" s="1049"/>
      <c r="E110" s="140">
        <f>IF(E108&lt;8037,0,E108-8037)</f>
        <v>0</v>
      </c>
      <c r="F110" s="140"/>
      <c r="G110" s="105"/>
      <c r="H110" s="105"/>
      <c r="I110" s="105"/>
      <c r="J110" s="105"/>
      <c r="K110" s="105"/>
      <c r="L110" s="152" t="e">
        <f t="shared" ref="L110:U110" si="31">IF(L108&lt;5358,0,L108-5358)</f>
        <v>#DIV/0!</v>
      </c>
      <c r="M110" s="140" t="e">
        <f t="shared" si="31"/>
        <v>#DIV/0!</v>
      </c>
      <c r="N110" s="140" t="e">
        <f t="shared" si="31"/>
        <v>#DIV/0!</v>
      </c>
      <c r="O110" s="140" t="e">
        <f t="shared" si="31"/>
        <v>#DIV/0!</v>
      </c>
      <c r="P110" s="140" t="e">
        <f t="shared" si="31"/>
        <v>#DIV/0!</v>
      </c>
      <c r="Q110" s="140" t="e">
        <f t="shared" si="31"/>
        <v>#DIV/0!</v>
      </c>
      <c r="R110" s="140" t="e">
        <f t="shared" si="31"/>
        <v>#DIV/0!</v>
      </c>
      <c r="S110" s="140" t="e">
        <f t="shared" si="31"/>
        <v>#DIV/0!</v>
      </c>
      <c r="T110" s="140" t="e">
        <f t="shared" si="31"/>
        <v>#DIV/0!</v>
      </c>
      <c r="U110" s="140" t="e">
        <f t="shared" si="31"/>
        <v>#DIV/0!</v>
      </c>
    </row>
    <row r="111" spans="1:21" ht="20.25" customHeight="1" x14ac:dyDescent="0.25">
      <c r="A111" s="1049" t="s">
        <v>234</v>
      </c>
      <c r="B111" s="1049"/>
      <c r="C111" s="1049"/>
      <c r="D111" s="1049"/>
      <c r="E111" s="140">
        <f>E110</f>
        <v>0</v>
      </c>
      <c r="F111" s="140"/>
      <c r="G111" s="105"/>
      <c r="H111" s="105"/>
      <c r="I111" s="105"/>
      <c r="J111" s="105"/>
      <c r="K111" s="105"/>
      <c r="L111" s="152" t="e">
        <f t="shared" ref="L111:U111" si="32">L110-K110</f>
        <v>#DIV/0!</v>
      </c>
      <c r="M111" s="140" t="e">
        <f t="shared" si="32"/>
        <v>#DIV/0!</v>
      </c>
      <c r="N111" s="140" t="e">
        <f t="shared" si="32"/>
        <v>#DIV/0!</v>
      </c>
      <c r="O111" s="140" t="e">
        <f t="shared" si="32"/>
        <v>#DIV/0!</v>
      </c>
      <c r="P111" s="140" t="e">
        <f t="shared" si="32"/>
        <v>#DIV/0!</v>
      </c>
      <c r="Q111" s="140" t="e">
        <f t="shared" si="32"/>
        <v>#DIV/0!</v>
      </c>
      <c r="R111" s="140" t="e">
        <f t="shared" si="32"/>
        <v>#DIV/0!</v>
      </c>
      <c r="S111" s="140" t="e">
        <f t="shared" si="32"/>
        <v>#DIV/0!</v>
      </c>
      <c r="T111" s="140" t="e">
        <f t="shared" si="32"/>
        <v>#DIV/0!</v>
      </c>
      <c r="U111" s="140" t="e">
        <f t="shared" si="32"/>
        <v>#DIV/0!</v>
      </c>
    </row>
    <row r="113" spans="1:21" ht="0.75" hidden="1" customHeight="1" x14ac:dyDescent="0.25">
      <c r="E113" s="142" t="s">
        <v>147</v>
      </c>
      <c r="F113" s="142"/>
      <c r="G113" s="142"/>
      <c r="H113" s="142"/>
      <c r="I113" s="142"/>
      <c r="J113" s="142"/>
      <c r="K113" s="142" t="s">
        <v>148</v>
      </c>
      <c r="L113" s="142" t="s">
        <v>159</v>
      </c>
      <c r="M113" s="142" t="s">
        <v>160</v>
      </c>
      <c r="N113" s="142" t="s">
        <v>149</v>
      </c>
      <c r="O113" s="142" t="s">
        <v>150</v>
      </c>
      <c r="P113" s="142" t="s">
        <v>162</v>
      </c>
      <c r="Q113" s="142" t="s">
        <v>163</v>
      </c>
      <c r="R113" s="142" t="s">
        <v>164</v>
      </c>
      <c r="S113" s="142" t="s">
        <v>165</v>
      </c>
      <c r="T113" s="142" t="s">
        <v>166</v>
      </c>
      <c r="U113" s="142" t="s">
        <v>167</v>
      </c>
    </row>
    <row r="114" spans="1:21" ht="0.75" hidden="1" customHeight="1" x14ac:dyDescent="0.25">
      <c r="A114" s="1061" t="s">
        <v>178</v>
      </c>
      <c r="B114" s="1061"/>
      <c r="C114" s="1061"/>
      <c r="D114" s="1061"/>
      <c r="E114" s="137">
        <f t="shared" ref="E114:U114" si="33">E85+E88</f>
        <v>2100</v>
      </c>
      <c r="F114" s="137"/>
      <c r="G114" s="137"/>
      <c r="H114" s="137"/>
      <c r="I114" s="137"/>
      <c r="J114" s="137"/>
      <c r="K114" s="137">
        <f t="shared" si="33"/>
        <v>0</v>
      </c>
      <c r="L114" s="137" t="e">
        <f t="shared" si="33"/>
        <v>#DIV/0!</v>
      </c>
      <c r="M114" s="137" t="e">
        <f t="shared" si="33"/>
        <v>#DIV/0!</v>
      </c>
      <c r="N114" s="137" t="e">
        <f t="shared" si="33"/>
        <v>#DIV/0!</v>
      </c>
      <c r="O114" s="137" t="e">
        <f t="shared" si="33"/>
        <v>#DIV/0!</v>
      </c>
      <c r="P114" s="137" t="e">
        <f t="shared" si="33"/>
        <v>#DIV/0!</v>
      </c>
      <c r="Q114" s="137" t="e">
        <f t="shared" si="33"/>
        <v>#DIV/0!</v>
      </c>
      <c r="R114" s="137" t="e">
        <f t="shared" si="33"/>
        <v>#DIV/0!</v>
      </c>
      <c r="S114" s="137" t="e">
        <f t="shared" si="33"/>
        <v>#DIV/0!</v>
      </c>
      <c r="T114" s="137" t="e">
        <f t="shared" si="33"/>
        <v>#DIV/0!</v>
      </c>
      <c r="U114" s="137" t="e">
        <f t="shared" si="33"/>
        <v>#DIV/0!</v>
      </c>
    </row>
    <row r="115" spans="1:21" ht="0.75" hidden="1" customHeight="1" x14ac:dyDescent="0.25">
      <c r="A115" s="1061" t="s">
        <v>179</v>
      </c>
      <c r="B115" s="1061"/>
      <c r="C115" s="1061"/>
      <c r="D115" s="1061"/>
      <c r="E115" s="137">
        <f>E91</f>
        <v>173.07</v>
      </c>
      <c r="F115" s="137"/>
      <c r="G115" s="137"/>
      <c r="H115" s="137"/>
      <c r="I115" s="137"/>
      <c r="J115" s="137"/>
      <c r="K115" s="137">
        <f>K91</f>
        <v>0</v>
      </c>
      <c r="L115" s="137" t="e">
        <f>L91</f>
        <v>#DIV/0!</v>
      </c>
      <c r="M115" s="137" t="e">
        <f>M91</f>
        <v>#DIV/0!</v>
      </c>
      <c r="N115" s="137" t="e">
        <f>N91</f>
        <v>#DIV/0!</v>
      </c>
      <c r="O115" s="123" t="e">
        <f t="shared" ref="O115:U115" si="34">+O91</f>
        <v>#DIV/0!</v>
      </c>
      <c r="P115" s="123" t="e">
        <f t="shared" si="34"/>
        <v>#DIV/0!</v>
      </c>
      <c r="Q115" s="123" t="e">
        <f t="shared" si="34"/>
        <v>#DIV/0!</v>
      </c>
      <c r="R115" s="123" t="e">
        <f t="shared" si="34"/>
        <v>#DIV/0!</v>
      </c>
      <c r="S115" s="123" t="e">
        <f t="shared" si="34"/>
        <v>#DIV/0!</v>
      </c>
      <c r="T115" s="123" t="e">
        <f t="shared" si="34"/>
        <v>#DIV/0!</v>
      </c>
      <c r="U115" s="123" t="e">
        <f t="shared" si="34"/>
        <v>#DIV/0!</v>
      </c>
    </row>
    <row r="116" spans="1:21" ht="0.75" hidden="1" customHeight="1" x14ac:dyDescent="0.25">
      <c r="A116" s="1061" t="s">
        <v>180</v>
      </c>
      <c r="B116" s="1061"/>
      <c r="C116" s="1061"/>
      <c r="D116" s="1061"/>
      <c r="E116" s="137">
        <f>E114+E115</f>
        <v>2273.0700000000002</v>
      </c>
      <c r="F116" s="137"/>
      <c r="G116" s="137"/>
      <c r="H116" s="137"/>
      <c r="I116" s="137"/>
      <c r="J116" s="137"/>
      <c r="K116" s="137">
        <f>K115+K114+E116</f>
        <v>2273.0700000000002</v>
      </c>
      <c r="L116" s="137" t="e">
        <f t="shared" ref="L116:U116" si="35">L115+L114+K116</f>
        <v>#DIV/0!</v>
      </c>
      <c r="M116" s="137" t="e">
        <f t="shared" si="35"/>
        <v>#DIV/0!</v>
      </c>
      <c r="N116" s="137" t="e">
        <f t="shared" si="35"/>
        <v>#DIV/0!</v>
      </c>
      <c r="O116" s="137" t="e">
        <f t="shared" si="35"/>
        <v>#DIV/0!</v>
      </c>
      <c r="P116" s="137" t="e">
        <f t="shared" si="35"/>
        <v>#DIV/0!</v>
      </c>
      <c r="Q116" s="137" t="e">
        <f t="shared" si="35"/>
        <v>#DIV/0!</v>
      </c>
      <c r="R116" s="137" t="e">
        <f t="shared" si="35"/>
        <v>#DIV/0!</v>
      </c>
      <c r="S116" s="137" t="e">
        <f t="shared" si="35"/>
        <v>#DIV/0!</v>
      </c>
      <c r="T116" s="137" t="e">
        <f t="shared" si="35"/>
        <v>#DIV/0!</v>
      </c>
      <c r="U116" s="137" t="e">
        <f t="shared" si="35"/>
        <v>#DIV/0!</v>
      </c>
    </row>
    <row r="117" spans="1:21" ht="0.75" hidden="1" customHeight="1" x14ac:dyDescent="0.25">
      <c r="A117" s="1061" t="s">
        <v>181</v>
      </c>
      <c r="B117" s="1061"/>
      <c r="C117" s="1061"/>
      <c r="D117" s="1061"/>
      <c r="E117" s="137">
        <f>D24</f>
        <v>3428</v>
      </c>
      <c r="F117" s="137"/>
      <c r="G117" s="137"/>
      <c r="H117" s="137"/>
      <c r="I117" s="137"/>
      <c r="J117" s="137"/>
      <c r="K117" s="137">
        <f>D25</f>
        <v>3428</v>
      </c>
      <c r="L117" s="137">
        <f>D26</f>
        <v>3428</v>
      </c>
      <c r="M117" s="137">
        <f>D27</f>
        <v>3428</v>
      </c>
      <c r="N117" s="137">
        <f>D28</f>
        <v>3428</v>
      </c>
      <c r="O117" s="99">
        <f>D29</f>
        <v>3428</v>
      </c>
      <c r="P117" s="99">
        <f>D30</f>
        <v>3428</v>
      </c>
      <c r="Q117" s="101"/>
      <c r="R117" s="101"/>
      <c r="S117" s="101"/>
      <c r="T117" s="101"/>
      <c r="U117" s="101"/>
    </row>
    <row r="118" spans="1:21" ht="0.75" hidden="1" customHeight="1" x14ac:dyDescent="0.25">
      <c r="A118" s="1061" t="s">
        <v>182</v>
      </c>
      <c r="B118" s="1061"/>
      <c r="C118" s="1061"/>
      <c r="D118" s="1061"/>
      <c r="E118" s="137">
        <f t="shared" ref="E118:U118" si="36">4*E117</f>
        <v>13712</v>
      </c>
      <c r="F118" s="137"/>
      <c r="G118" s="137"/>
      <c r="H118" s="137"/>
      <c r="I118" s="137"/>
      <c r="J118" s="137"/>
      <c r="K118" s="137">
        <f t="shared" si="36"/>
        <v>13712</v>
      </c>
      <c r="L118" s="137">
        <f t="shared" si="36"/>
        <v>13712</v>
      </c>
      <c r="M118" s="137">
        <f t="shared" si="36"/>
        <v>13712</v>
      </c>
      <c r="N118" s="137">
        <f t="shared" si="36"/>
        <v>13712</v>
      </c>
      <c r="O118" s="137">
        <f t="shared" si="36"/>
        <v>13712</v>
      </c>
      <c r="P118" s="137">
        <f t="shared" si="36"/>
        <v>13712</v>
      </c>
      <c r="Q118" s="137">
        <f t="shared" si="36"/>
        <v>0</v>
      </c>
      <c r="R118" s="137">
        <f t="shared" si="36"/>
        <v>0</v>
      </c>
      <c r="S118" s="137">
        <f t="shared" si="36"/>
        <v>0</v>
      </c>
      <c r="T118" s="137">
        <f t="shared" si="36"/>
        <v>0</v>
      </c>
      <c r="U118" s="137">
        <f t="shared" si="36"/>
        <v>0</v>
      </c>
    </row>
    <row r="119" spans="1:21" ht="0.75" hidden="1" customHeight="1" x14ac:dyDescent="0.25">
      <c r="A119" s="1069" t="s">
        <v>183</v>
      </c>
      <c r="B119" s="1070"/>
      <c r="C119" s="1070"/>
      <c r="D119" s="1071"/>
      <c r="E119" s="137">
        <f>'[4]BP  JANV. COMMENTE 1   '!G80+'[4]BP  JANV. COMMENTE 1   '!G81+'[4]BP  JANV. COMMENTE 1   '!G82+'[4]BP  JANV. COMMENTE 1   '!G83+'[4]BP  JANV. COMMENTE 1   '!G84+'[4]BP  JANV. COMMENTE 1   '!G85</f>
        <v>245.54</v>
      </c>
      <c r="F119" s="137"/>
      <c r="G119" s="137"/>
      <c r="H119" s="137"/>
      <c r="I119" s="137"/>
      <c r="J119" s="137"/>
      <c r="K119" s="137">
        <f>'[4]BP FEVRIER    '!G79+'[4]BP FEVRIER    '!G80+'[4]BP FEVRIER    '!G81+'[4]BP FEVRIER    '!G82+'[4]BP FEVRIER    '!G83+'[4]BP FEVRIER    '!G84+'[4]BP FEVRIER    '!G85</f>
        <v>0</v>
      </c>
      <c r="L119" s="137" t="e">
        <f>'[4]BP MARS   '!G79+'[4]BP MARS   '!G80+'[4]BP MARS   '!G81+'[4]BP MARS   '!G82+'[4]BP MARS   '!G83+'[4]BP MARS   '!G84+'[4]BP MARS   '!G85</f>
        <v>#DIV/0!</v>
      </c>
      <c r="M119" s="137" t="e">
        <f>'[4]BP AVRIL    '!G79+'[4]BP AVRIL    '!G80+'[4]BP AVRIL    '!G81+'[4]BP AVRIL    '!G82+'[4]BP AVRIL    '!G83+'[4]BP AVRIL    '!G84+'[4]BP AVRIL    '!G85</f>
        <v>#DIV/0!</v>
      </c>
      <c r="N119" s="137" t="e">
        <f>'[4]BP MAI     '!G79+'[4]BP MAI     '!G80+'[4]BP MAI     '!G81+'[4]BP MAI     '!G82+'[4]BP MAI     '!G83+'[4]BP MAI     '!G84+'[4]BP MAI     '!G87</f>
        <v>#DIV/0!</v>
      </c>
      <c r="O119" s="137" t="e">
        <f>'[4]BP  JUIN '!G79+'[4]BP  JUIN '!G80+'[4]BP  JUIN '!G81+'[4]BP  JUIN '!G82+'[4]BP  JUIN '!G83+'[4]BP  JUIN '!G84+'[4]BP  JUIN '!G87</f>
        <v>#DIV/0!</v>
      </c>
      <c r="P119" s="123" t="e">
        <f>+'[4]BP JUILLET '!G79+'[4]BP JUILLET '!G80+'[4]BP JUILLET '!G81+'[4]BP JUILLET '!G82+'[4]BP JUILLET '!G83+'[4]BP JUILLET '!G84+'[4]BP JUILLET '!G87</f>
        <v>#DIV/0!</v>
      </c>
      <c r="Q119" s="101"/>
      <c r="R119" s="101"/>
      <c r="S119" s="101"/>
      <c r="T119" s="101"/>
      <c r="U119" s="101"/>
    </row>
    <row r="120" spans="1:21" ht="0.75" hidden="1" customHeight="1" x14ac:dyDescent="0.25">
      <c r="A120" s="1061" t="s">
        <v>184</v>
      </c>
      <c r="B120" s="1061"/>
      <c r="C120" s="1061"/>
      <c r="D120" s="1061"/>
      <c r="E120" s="102">
        <f t="shared" ref="E120:U120" si="37">IF(E114&lt;=E118,E114*0.9825+E119,E118*0.9825+E114-E118+E119)</f>
        <v>2308.79</v>
      </c>
      <c r="F120" s="102"/>
      <c r="G120" s="102"/>
      <c r="H120" s="102"/>
      <c r="I120" s="102"/>
      <c r="J120" s="102"/>
      <c r="K120" s="102">
        <f t="shared" si="37"/>
        <v>0</v>
      </c>
      <c r="L120" s="102" t="e">
        <f t="shared" si="37"/>
        <v>#DIV/0!</v>
      </c>
      <c r="M120" s="102" t="e">
        <f t="shared" si="37"/>
        <v>#DIV/0!</v>
      </c>
      <c r="N120" s="102" t="e">
        <f t="shared" si="37"/>
        <v>#DIV/0!</v>
      </c>
      <c r="O120" s="102" t="e">
        <f t="shared" si="37"/>
        <v>#DIV/0!</v>
      </c>
      <c r="P120" s="102" t="e">
        <f t="shared" si="37"/>
        <v>#DIV/0!</v>
      </c>
      <c r="Q120" s="102" t="e">
        <f t="shared" si="37"/>
        <v>#DIV/0!</v>
      </c>
      <c r="R120" s="102" t="e">
        <f t="shared" si="37"/>
        <v>#DIV/0!</v>
      </c>
      <c r="S120" s="102" t="e">
        <f t="shared" si="37"/>
        <v>#DIV/0!</v>
      </c>
      <c r="T120" s="102" t="e">
        <f t="shared" si="37"/>
        <v>#DIV/0!</v>
      </c>
      <c r="U120" s="102" t="e">
        <f t="shared" si="37"/>
        <v>#DIV/0!</v>
      </c>
    </row>
    <row r="121" spans="1:21" ht="0.75" hidden="1" customHeight="1" x14ac:dyDescent="0.25">
      <c r="A121" s="1061" t="s">
        <v>185</v>
      </c>
      <c r="B121" s="1061"/>
      <c r="C121" s="1061"/>
      <c r="D121" s="1061"/>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8">
        <v>1000</v>
      </c>
    </row>
    <row r="125" spans="1:21" x14ac:dyDescent="0.25">
      <c r="B125" t="s">
        <v>401</v>
      </c>
      <c r="C125" s="2">
        <f>'BP FORMAT JUILLET 2023'!C33</f>
        <v>4005</v>
      </c>
    </row>
    <row r="126" spans="1:21" x14ac:dyDescent="0.25">
      <c r="I126" s="11"/>
    </row>
    <row r="127" spans="1:21" x14ac:dyDescent="0.25">
      <c r="A127" t="s">
        <v>188</v>
      </c>
    </row>
    <row r="129" spans="1:11" s="59" customFormat="1" x14ac:dyDescent="0.25">
      <c r="A129">
        <v>3</v>
      </c>
      <c r="B129" s="1045" t="s">
        <v>191</v>
      </c>
      <c r="C129" s="1047"/>
      <c r="D129" s="450">
        <f>4*C125</f>
        <v>16020</v>
      </c>
      <c r="F129" s="64"/>
      <c r="H129" s="446"/>
    </row>
    <row r="130" spans="1:11" s="59" customFormat="1" x14ac:dyDescent="0.25">
      <c r="A130">
        <v>4</v>
      </c>
      <c r="B130" s="1039" t="s">
        <v>189</v>
      </c>
      <c r="C130" s="1041"/>
      <c r="D130" s="450">
        <f>E85+E90</f>
        <v>2100</v>
      </c>
      <c r="E130" s="443"/>
      <c r="F130" s="444"/>
      <c r="K130" s="165"/>
    </row>
    <row r="131" spans="1:11" s="59" customFormat="1" x14ac:dyDescent="0.25">
      <c r="A131">
        <v>5</v>
      </c>
      <c r="B131" s="1039" t="s">
        <v>190</v>
      </c>
      <c r="C131" s="1041"/>
      <c r="D131" s="450">
        <f>E57</f>
        <v>173.07</v>
      </c>
      <c r="E131" s="443"/>
      <c r="F131" s="444"/>
      <c r="K131" s="165"/>
    </row>
    <row r="132" spans="1:11" s="59" customFormat="1" x14ac:dyDescent="0.25">
      <c r="A132">
        <v>6</v>
      </c>
      <c r="B132" s="1039" t="s">
        <v>404</v>
      </c>
      <c r="C132" s="1041"/>
      <c r="D132" s="451">
        <f>G57</f>
        <v>0</v>
      </c>
      <c r="E132" s="443"/>
      <c r="F132" s="444"/>
      <c r="H132" s="447"/>
      <c r="K132" s="165"/>
    </row>
    <row r="133" spans="1:11" s="59" customFormat="1" x14ac:dyDescent="0.25">
      <c r="A133">
        <v>7</v>
      </c>
      <c r="B133" s="1039" t="s">
        <v>187</v>
      </c>
      <c r="C133" s="1041"/>
      <c r="D133" s="450">
        <f>D130+D131+D132</f>
        <v>2273.0700000000002</v>
      </c>
      <c r="E133" s="445"/>
      <c r="F133" s="444"/>
      <c r="H133" s="447"/>
    </row>
    <row r="134" spans="1:11" s="59" customFormat="1" x14ac:dyDescent="0.25">
      <c r="A134">
        <v>8</v>
      </c>
      <c r="B134" s="1039" t="s">
        <v>192</v>
      </c>
      <c r="C134" s="1041"/>
      <c r="D134" s="450">
        <f>E98+E99</f>
        <v>90.92</v>
      </c>
      <c r="H134" s="166"/>
      <c r="I134" s="166"/>
    </row>
    <row r="135" spans="1:11" s="59" customFormat="1" x14ac:dyDescent="0.25">
      <c r="A135">
        <v>9</v>
      </c>
      <c r="F135" s="305" t="s">
        <v>63</v>
      </c>
      <c r="H135" s="166"/>
      <c r="I135" s="166"/>
      <c r="K135" s="64"/>
    </row>
    <row r="136" spans="1:11" s="59" customFormat="1" x14ac:dyDescent="0.25">
      <c r="A136">
        <v>10</v>
      </c>
      <c r="B136" s="1051" t="s">
        <v>198</v>
      </c>
      <c r="C136" s="1052"/>
      <c r="D136" s="1053"/>
      <c r="E136" s="60">
        <v>6.8000000000000005E-2</v>
      </c>
      <c r="F136" s="168">
        <f>IF(D133&lt;D129,D130*0.9825+D134,IF(D130&gt;D129,D129*0.9825+D130-D129+D134, D130*0.9825+D134))</f>
        <v>2154.17</v>
      </c>
      <c r="H136" s="11"/>
      <c r="I136" s="167"/>
    </row>
    <row r="137" spans="1:11" s="59" customFormat="1" x14ac:dyDescent="0.25">
      <c r="A137">
        <v>11</v>
      </c>
      <c r="B137" s="1051" t="s">
        <v>193</v>
      </c>
      <c r="C137" s="1052"/>
      <c r="D137" s="1053"/>
      <c r="E137" s="60">
        <v>6.8000000000000005E-2</v>
      </c>
      <c r="F137" s="448">
        <f>IF(D133&gt;D129,IF(D130&gt;D129,D131,IF((D129-D130)&gt;D132,(D129-D130-D132)*0.9825+D131-(D129-D130-D132),D131)),D131*0.9825)</f>
        <v>170.04127500000001</v>
      </c>
      <c r="H137" s="167"/>
      <c r="I137" s="167"/>
      <c r="J137" s="64"/>
    </row>
    <row r="138" spans="1:11" s="59" customFormat="1" x14ac:dyDescent="0.25">
      <c r="A138">
        <v>12</v>
      </c>
      <c r="B138" s="1051" t="s">
        <v>194</v>
      </c>
      <c r="C138" s="1052"/>
      <c r="D138" s="1053"/>
      <c r="E138" s="60">
        <v>6.8000000000000005E-2</v>
      </c>
      <c r="F138" s="449">
        <f>IF(D133&lt;D129,D132*0.9825,IF(D130&gt;D129,D132,IF((D129-D130)&gt;D132,D132*0.9825,(D129-D130)*0.9825+D132-(D129-D130))))</f>
        <v>0</v>
      </c>
      <c r="H138" s="64"/>
    </row>
    <row r="139" spans="1:11" s="59" customFormat="1" x14ac:dyDescent="0.25">
      <c r="A139">
        <v>13</v>
      </c>
      <c r="B139" s="1051" t="s">
        <v>195</v>
      </c>
      <c r="C139" s="1052"/>
      <c r="D139" s="1053"/>
      <c r="E139" s="60">
        <v>2.9000000000000001E-2</v>
      </c>
      <c r="F139" s="62">
        <f>F136</f>
        <v>2154.17</v>
      </c>
    </row>
    <row r="140" spans="1:11" s="59" customFormat="1" x14ac:dyDescent="0.25">
      <c r="A140">
        <v>14</v>
      </c>
      <c r="B140" s="1051" t="s">
        <v>196</v>
      </c>
      <c r="C140" s="1052"/>
      <c r="D140" s="1053"/>
      <c r="E140" s="60">
        <v>2.9000000000000001E-2</v>
      </c>
      <c r="F140" s="62">
        <f>F137+F138</f>
        <v>170.04127500000001</v>
      </c>
    </row>
    <row r="141" spans="1:11" s="59" customFormat="1" x14ac:dyDescent="0.25">
      <c r="A141">
        <v>15</v>
      </c>
      <c r="B141" s="1051" t="s">
        <v>197</v>
      </c>
      <c r="C141" s="1052"/>
      <c r="D141" s="1053"/>
      <c r="E141" s="184">
        <f>'HEURES SUPPLEMENTAIRES '!D57</f>
        <v>0.11310000000000001</v>
      </c>
      <c r="F141" s="62">
        <f>D131</f>
        <v>173.07</v>
      </c>
    </row>
    <row r="144" spans="1:11" x14ac:dyDescent="0.25">
      <c r="A144" s="791" t="s">
        <v>990</v>
      </c>
      <c r="B144" s="791"/>
      <c r="C144" s="791"/>
      <c r="D144" s="792"/>
    </row>
    <row r="147" spans="1:2" ht="15.75" x14ac:dyDescent="0.25">
      <c r="A147" s="810">
        <f>IF('Masque de Saisie'!G9&lt;20,('BP FORMAT JUILLET 2023'!G20+'BP FORMAT JUILLET 2023'!G21+'BP FORMAT JUILLET 2023'!G22)*1.5,0.5*('BP FORMAT JUILLET 2023'!G20+'BP FORMAT JUILLET 2023'!G21+'BP FORMAT JUILLET 2023'!G22))</f>
        <v>5</v>
      </c>
      <c r="B147" s="188" t="s">
        <v>991</v>
      </c>
    </row>
    <row r="148" spans="1:2" ht="15.75" x14ac:dyDescent="0.25">
      <c r="B148" s="188" t="s">
        <v>1057</v>
      </c>
    </row>
    <row r="149" spans="1:2" ht="15.75" x14ac:dyDescent="0.25">
      <c r="B149" s="188" t="s">
        <v>992</v>
      </c>
    </row>
    <row r="150" spans="1:2" ht="15.75" x14ac:dyDescent="0.25">
      <c r="B150" s="188" t="s">
        <v>993</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2199E-C96B-4E90-9AE5-EF396FA382E8}">
  <dimension ref="A1:M234"/>
  <sheetViews>
    <sheetView topLeftCell="A96" zoomScaleNormal="100" workbookViewId="0">
      <selection activeCell="D100" sqref="D100"/>
    </sheetView>
  </sheetViews>
  <sheetFormatPr baseColWidth="10" defaultColWidth="11.42578125" defaultRowHeight="15.75" x14ac:dyDescent="0.25"/>
  <cols>
    <col min="1" max="1" width="19.28515625" style="188" customWidth="1"/>
    <col min="2" max="2" width="39.85546875" style="188" customWidth="1"/>
    <col min="3" max="3" width="28.85546875" style="188" customWidth="1"/>
    <col min="4" max="4" width="15.85546875" style="598" customWidth="1"/>
    <col min="5" max="5" width="19.5703125" style="726" customWidth="1"/>
    <col min="6" max="6" width="12.28515625" style="188" customWidth="1"/>
    <col min="7" max="7" width="14" style="600" customWidth="1"/>
    <col min="8" max="8" width="15.85546875" style="188" customWidth="1"/>
    <col min="9" max="16384" width="11.42578125" style="188"/>
  </cols>
  <sheetData>
    <row r="1" spans="1:13" ht="0.75" hidden="1" customHeight="1" x14ac:dyDescent="0.25">
      <c r="A1" s="1143" t="s">
        <v>782</v>
      </c>
      <c r="B1" s="1143"/>
      <c r="C1" s="595"/>
      <c r="D1" s="596"/>
      <c r="E1" s="717"/>
      <c r="F1" s="1144"/>
      <c r="G1" s="1144"/>
      <c r="H1" s="1144"/>
      <c r="I1" s="1144"/>
      <c r="J1" s="1144"/>
      <c r="K1" s="1144"/>
      <c r="L1" s="1144"/>
    </row>
    <row r="2" spans="1:13" ht="0.75" hidden="1" customHeight="1" x14ac:dyDescent="0.25">
      <c r="A2" s="1145" t="s">
        <v>783</v>
      </c>
      <c r="B2" s="1145"/>
      <c r="E2" s="718"/>
    </row>
    <row r="3" spans="1:13" ht="0.75" hidden="1" customHeight="1" x14ac:dyDescent="0.25">
      <c r="A3" s="1145" t="s">
        <v>784</v>
      </c>
      <c r="B3" s="1145"/>
      <c r="E3" s="718"/>
      <c r="F3" s="200" t="s">
        <v>785</v>
      </c>
      <c r="G3" s="601"/>
      <c r="H3" s="597"/>
      <c r="I3" s="597"/>
      <c r="J3" s="602"/>
      <c r="K3" s="1146"/>
      <c r="L3" s="1146"/>
    </row>
    <row r="4" spans="1:13" ht="0.75" hidden="1" customHeight="1" x14ac:dyDescent="0.25">
      <c r="A4" s="603" t="s">
        <v>786</v>
      </c>
      <c r="B4" s="1147"/>
      <c r="C4" s="1147"/>
      <c r="D4" s="604" t="s">
        <v>787</v>
      </c>
      <c r="E4" s="719" t="s">
        <v>788</v>
      </c>
      <c r="F4" s="605"/>
      <c r="G4" s="606"/>
      <c r="H4" s="607"/>
      <c r="I4" s="607"/>
      <c r="J4" s="607"/>
      <c r="K4" s="607"/>
      <c r="L4" s="607"/>
    </row>
    <row r="5" spans="1:13" ht="0.75" hidden="1" customHeight="1" x14ac:dyDescent="0.25">
      <c r="A5" s="603" t="s">
        <v>10</v>
      </c>
      <c r="E5" s="718"/>
    </row>
    <row r="6" spans="1:13" ht="0.75" hidden="1" customHeight="1" x14ac:dyDescent="0.25">
      <c r="A6" s="603" t="s">
        <v>789</v>
      </c>
      <c r="E6" s="718"/>
      <c r="F6" s="1148"/>
      <c r="G6" s="1148"/>
      <c r="H6" s="1148"/>
    </row>
    <row r="7" spans="1:13" ht="0.75" hidden="1" customHeight="1" x14ac:dyDescent="0.25">
      <c r="A7" s="603" t="s">
        <v>790</v>
      </c>
      <c r="B7" s="607" t="s">
        <v>791</v>
      </c>
      <c r="D7" s="604" t="s">
        <v>792</v>
      </c>
      <c r="E7" s="718"/>
      <c r="I7" s="1144"/>
      <c r="J7" s="1144"/>
      <c r="K7" s="1144"/>
      <c r="L7" s="1144"/>
      <c r="M7" s="1144"/>
    </row>
    <row r="8" spans="1:13" ht="0.75" hidden="1" customHeight="1" x14ac:dyDescent="0.25">
      <c r="A8" s="603" t="s">
        <v>793</v>
      </c>
      <c r="D8" s="604"/>
      <c r="E8" s="718"/>
      <c r="F8" s="608"/>
      <c r="G8" s="609"/>
      <c r="H8" s="608"/>
    </row>
    <row r="9" spans="1:13" ht="0.75" hidden="1" customHeight="1" x14ac:dyDescent="0.25">
      <c r="A9" s="603" t="s">
        <v>794</v>
      </c>
      <c r="D9" s="604" t="s">
        <v>795</v>
      </c>
      <c r="E9" s="718"/>
      <c r="F9" s="597"/>
    </row>
    <row r="10" spans="1:13" ht="0.75" hidden="1" customHeight="1" x14ac:dyDescent="0.25">
      <c r="A10" s="603" t="s">
        <v>796</v>
      </c>
      <c r="E10" s="718"/>
      <c r="F10" s="190"/>
      <c r="G10" s="600" t="s">
        <v>797</v>
      </c>
    </row>
    <row r="11" spans="1:13" ht="0.75" hidden="1" customHeight="1" x14ac:dyDescent="0.25">
      <c r="A11" s="610" t="s">
        <v>798</v>
      </c>
      <c r="E11" s="718"/>
      <c r="F11" s="200"/>
    </row>
    <row r="12" spans="1:13" ht="0.75" hidden="1" customHeight="1" x14ac:dyDescent="0.25">
      <c r="A12" s="1149" t="s">
        <v>74</v>
      </c>
      <c r="B12" s="1150"/>
      <c r="C12" s="196" t="s">
        <v>32</v>
      </c>
      <c r="D12" s="612" t="s">
        <v>105</v>
      </c>
      <c r="E12" s="304" t="s">
        <v>64</v>
      </c>
      <c r="F12" s="200"/>
    </row>
    <row r="13" spans="1:13" ht="0.75" hidden="1" customHeight="1" x14ac:dyDescent="0.25">
      <c r="A13" s="613" t="s">
        <v>799</v>
      </c>
      <c r="B13" s="607"/>
      <c r="C13" s="614">
        <v>151.66999999999999</v>
      </c>
      <c r="D13" s="615">
        <f>E13/C13</f>
        <v>38.24091778202677</v>
      </c>
      <c r="E13" s="720">
        <f>5800</f>
        <v>5800</v>
      </c>
      <c r="F13" s="200"/>
    </row>
    <row r="14" spans="1:13" ht="0.75" hidden="1" customHeight="1" x14ac:dyDescent="0.25">
      <c r="A14" s="613" t="s">
        <v>69</v>
      </c>
      <c r="B14" s="607"/>
      <c r="C14" s="614">
        <v>17.329999999999998</v>
      </c>
      <c r="D14" s="615">
        <f>D13*1.25</f>
        <v>47.801147227533463</v>
      </c>
      <c r="E14" s="720">
        <f>C14*D14</f>
        <v>828.39388145315479</v>
      </c>
    </row>
    <row r="15" spans="1:13" ht="0.75" hidden="1" customHeight="1" x14ac:dyDescent="0.25">
      <c r="A15" s="613" t="s">
        <v>800</v>
      </c>
      <c r="B15" s="607"/>
      <c r="C15" s="614"/>
      <c r="D15" s="615"/>
      <c r="E15" s="720">
        <f>'[1]TR ex 2  '!D29</f>
        <v>34.540000000000006</v>
      </c>
    </row>
    <row r="16" spans="1:13" ht="0.75" hidden="1" customHeight="1" x14ac:dyDescent="0.25">
      <c r="A16" s="613"/>
      <c r="B16" s="607"/>
      <c r="C16" s="617"/>
      <c r="D16" s="618"/>
      <c r="E16" s="721"/>
    </row>
    <row r="17" spans="1:8" ht="0.75" hidden="1" customHeight="1" x14ac:dyDescent="0.25">
      <c r="A17" s="1151" t="s">
        <v>801</v>
      </c>
      <c r="B17" s="1152"/>
      <c r="C17" s="619"/>
      <c r="D17" s="620"/>
      <c r="E17" s="722">
        <f>ROUND(SUM(E13:E15),2)</f>
        <v>6662.93</v>
      </c>
    </row>
    <row r="18" spans="1:8" ht="0.75" hidden="1" customHeight="1" x14ac:dyDescent="0.25">
      <c r="E18" s="723"/>
    </row>
    <row r="19" spans="1:8" ht="0.75" hidden="1" customHeight="1" x14ac:dyDescent="0.25">
      <c r="C19" s="1135" t="s">
        <v>802</v>
      </c>
      <c r="D19" s="1135"/>
      <c r="E19" s="1135"/>
      <c r="F19" s="1142" t="s">
        <v>803</v>
      </c>
      <c r="G19" s="1142"/>
      <c r="H19" s="1142"/>
    </row>
    <row r="20" spans="1:8" ht="0.75" hidden="1" customHeight="1" x14ac:dyDescent="0.25">
      <c r="A20" s="1136" t="s">
        <v>74</v>
      </c>
      <c r="B20" s="1136"/>
      <c r="C20" s="196" t="s">
        <v>32</v>
      </c>
      <c r="D20" s="612" t="s">
        <v>105</v>
      </c>
      <c r="E20" s="304" t="s">
        <v>64</v>
      </c>
      <c r="F20" s="196" t="s">
        <v>32</v>
      </c>
      <c r="G20" s="622" t="s">
        <v>105</v>
      </c>
      <c r="H20" s="196" t="s">
        <v>64</v>
      </c>
    </row>
    <row r="21" spans="1:8" ht="0.75" hidden="1" customHeight="1" x14ac:dyDescent="0.25">
      <c r="A21" s="1137" t="s">
        <v>804</v>
      </c>
      <c r="B21" s="1137"/>
      <c r="C21" s="623">
        <f>E17</f>
        <v>6662.93</v>
      </c>
      <c r="D21" s="624">
        <f>VLOOKUP(A21,TAUX2015,2,0)</f>
        <v>0</v>
      </c>
      <c r="E21" s="724">
        <f>ROUND(C21*D21/100,2)</f>
        <v>0</v>
      </c>
      <c r="F21" s="623">
        <f>E17</f>
        <v>6662.93</v>
      </c>
      <c r="G21" s="625">
        <f t="shared" ref="G21:G33" si="0">VLOOKUP(A21,TAUX2015,3,0)</f>
        <v>13</v>
      </c>
      <c r="H21" s="623">
        <f t="shared" ref="H21:H33" si="1">ROUND(F21*G21/100,2)</f>
        <v>866.18</v>
      </c>
    </row>
    <row r="22" spans="1:8" ht="0.75" hidden="1" customHeight="1" x14ac:dyDescent="0.25">
      <c r="A22" s="1138" t="s">
        <v>805</v>
      </c>
      <c r="B22" s="1138"/>
      <c r="C22" s="626">
        <f>'[1]Table des taux '!B51</f>
        <v>3311</v>
      </c>
      <c r="D22" s="627">
        <f>VLOOKUP(A22,TAUX2015,2,0)</f>
        <v>6.9</v>
      </c>
      <c r="E22" s="725">
        <f>ROUND(C22*D22/100,2)</f>
        <v>228.46</v>
      </c>
      <c r="F22" s="626">
        <f>C22</f>
        <v>3311</v>
      </c>
      <c r="G22" s="628">
        <f t="shared" si="0"/>
        <v>8.5500000000000007</v>
      </c>
      <c r="H22" s="626">
        <f t="shared" si="1"/>
        <v>283.08999999999997</v>
      </c>
    </row>
    <row r="23" spans="1:8" ht="0.75" hidden="1" customHeight="1" x14ac:dyDescent="0.25">
      <c r="A23" s="1138" t="s">
        <v>806</v>
      </c>
      <c r="B23" s="1138"/>
      <c r="C23" s="626">
        <f>C21</f>
        <v>6662.93</v>
      </c>
      <c r="D23" s="627">
        <f>VLOOKUP(A23,TAUX2015,2,0)</f>
        <v>0.4</v>
      </c>
      <c r="E23" s="725">
        <f>ROUND(C23*D23/100,2)</f>
        <v>26.65</v>
      </c>
      <c r="F23" s="626">
        <f>C23</f>
        <v>6662.93</v>
      </c>
      <c r="G23" s="628">
        <f t="shared" si="0"/>
        <v>1.9</v>
      </c>
      <c r="H23" s="626">
        <f t="shared" si="1"/>
        <v>126.6</v>
      </c>
    </row>
    <row r="24" spans="1:8" ht="0.75" hidden="1" customHeight="1" x14ac:dyDescent="0.25">
      <c r="A24" s="1139" t="s">
        <v>77</v>
      </c>
      <c r="B24" s="1140"/>
      <c r="C24" s="626"/>
      <c r="D24" s="627"/>
      <c r="E24" s="725"/>
      <c r="F24" s="626">
        <f>F23</f>
        <v>6662.93</v>
      </c>
      <c r="G24" s="628">
        <f t="shared" si="0"/>
        <v>3.45</v>
      </c>
      <c r="H24" s="626">
        <f t="shared" si="1"/>
        <v>229.87</v>
      </c>
    </row>
    <row r="25" spans="1:8" ht="0.75" hidden="1" customHeight="1" x14ac:dyDescent="0.25">
      <c r="A25" s="1139" t="s">
        <v>807</v>
      </c>
      <c r="B25" s="1140"/>
      <c r="C25" s="626"/>
      <c r="D25" s="627"/>
      <c r="E25" s="725"/>
      <c r="F25" s="626">
        <f>F24</f>
        <v>6662.93</v>
      </c>
      <c r="G25" s="628">
        <f t="shared" si="0"/>
        <v>1.8</v>
      </c>
      <c r="H25" s="626">
        <f t="shared" si="1"/>
        <v>119.93</v>
      </c>
    </row>
    <row r="26" spans="1:8" ht="0.75" hidden="1" customHeight="1" x14ac:dyDescent="0.25">
      <c r="A26" s="1138" t="s">
        <v>808</v>
      </c>
      <c r="B26" s="1138"/>
      <c r="C26" s="626"/>
      <c r="D26" s="627"/>
      <c r="E26" s="725"/>
      <c r="F26" s="626">
        <f>C22</f>
        <v>3311</v>
      </c>
      <c r="G26" s="628">
        <f t="shared" si="0"/>
        <v>0.1</v>
      </c>
      <c r="H26" s="626">
        <f t="shared" si="1"/>
        <v>3.31</v>
      </c>
    </row>
    <row r="27" spans="1:8" ht="0.75" hidden="1" customHeight="1" x14ac:dyDescent="0.25">
      <c r="A27" s="1137" t="s">
        <v>809</v>
      </c>
      <c r="B27" s="1137"/>
      <c r="C27" s="626"/>
      <c r="D27" s="627"/>
      <c r="E27" s="725"/>
      <c r="F27" s="626">
        <f>F24</f>
        <v>6662.93</v>
      </c>
      <c r="G27" s="628">
        <f t="shared" si="0"/>
        <v>1.8</v>
      </c>
      <c r="H27" s="626">
        <f t="shared" si="1"/>
        <v>119.93</v>
      </c>
    </row>
    <row r="28" spans="1:8" ht="0.75" hidden="1" customHeight="1" x14ac:dyDescent="0.25">
      <c r="A28" s="1134" t="s">
        <v>78</v>
      </c>
      <c r="B28" s="1134"/>
      <c r="C28" s="626"/>
      <c r="D28" s="627"/>
      <c r="E28" s="725"/>
      <c r="F28" s="626">
        <f>F24</f>
        <v>6662.93</v>
      </c>
      <c r="G28" s="628">
        <f t="shared" si="0"/>
        <v>0.3</v>
      </c>
      <c r="H28" s="626">
        <f t="shared" si="1"/>
        <v>19.989999999999998</v>
      </c>
    </row>
    <row r="29" spans="1:8" ht="0.75" hidden="1" customHeight="1" x14ac:dyDescent="0.25">
      <c r="A29" s="1129" t="s">
        <v>810</v>
      </c>
      <c r="B29" s="1129"/>
      <c r="C29" s="629"/>
      <c r="D29" s="630"/>
      <c r="E29" s="723"/>
      <c r="F29" s="629">
        <f>F28</f>
        <v>6662.93</v>
      </c>
      <c r="G29" s="628" t="e">
        <f t="shared" si="0"/>
        <v>#N/A</v>
      </c>
      <c r="H29" s="626" t="e">
        <f t="shared" si="1"/>
        <v>#N/A</v>
      </c>
    </row>
    <row r="30" spans="1:8" ht="0.75" hidden="1" customHeight="1" x14ac:dyDescent="0.25">
      <c r="A30" s="1129" t="s">
        <v>811</v>
      </c>
      <c r="B30" s="1129"/>
      <c r="C30" s="629"/>
      <c r="D30" s="630"/>
      <c r="E30" s="723"/>
      <c r="F30" s="629">
        <f>F29</f>
        <v>6662.93</v>
      </c>
      <c r="G30" s="628" t="e">
        <f t="shared" si="0"/>
        <v>#N/A</v>
      </c>
      <c r="H30" s="626" t="e">
        <f t="shared" si="1"/>
        <v>#N/A</v>
      </c>
    </row>
    <row r="31" spans="1:8" ht="0.75" hidden="1" customHeight="1" x14ac:dyDescent="0.25">
      <c r="A31" s="1130" t="s">
        <v>812</v>
      </c>
      <c r="B31" s="1130"/>
      <c r="C31" s="626">
        <f>C22</f>
        <v>3311</v>
      </c>
      <c r="D31" s="627">
        <f>VLOOKUP(A31,TAUX2015,2,0)</f>
        <v>0.95</v>
      </c>
      <c r="E31" s="725">
        <f>ROUND(C31*D31/100,2)</f>
        <v>31.45</v>
      </c>
      <c r="F31" s="626">
        <f>C31</f>
        <v>3311</v>
      </c>
      <c r="G31" s="628">
        <f t="shared" si="0"/>
        <v>4.05</v>
      </c>
      <c r="H31" s="626">
        <f t="shared" si="1"/>
        <v>134.1</v>
      </c>
    </row>
    <row r="32" spans="1:8" ht="0.75" hidden="1" customHeight="1" x14ac:dyDescent="0.25">
      <c r="A32" s="1131" t="s">
        <v>813</v>
      </c>
      <c r="B32" s="1131"/>
      <c r="C32" s="626">
        <f>E17-C22</f>
        <v>3351.9300000000003</v>
      </c>
      <c r="D32" s="627">
        <f>VLOOKUP(A32,TAUX2015,2,0)</f>
        <v>0.95</v>
      </c>
      <c r="E32" s="725">
        <f>ROUND(C32*D32/100,2)</f>
        <v>31.84</v>
      </c>
      <c r="F32" s="626">
        <f>C32</f>
        <v>3351.9300000000003</v>
      </c>
      <c r="G32" s="628">
        <f t="shared" si="0"/>
        <v>4.05</v>
      </c>
      <c r="H32" s="626">
        <f t="shared" si="1"/>
        <v>135.75</v>
      </c>
    </row>
    <row r="33" spans="1:8" ht="0.75" hidden="1" customHeight="1" x14ac:dyDescent="0.25">
      <c r="A33" s="1132" t="s">
        <v>230</v>
      </c>
      <c r="B33" s="1132"/>
      <c r="C33" s="626"/>
      <c r="D33" s="627">
        <f>VLOOKUP(A33,TAUX2015,2,0)</f>
        <v>0</v>
      </c>
      <c r="E33" s="725">
        <f>ROUND(C33*D33/100,2)</f>
        <v>0</v>
      </c>
      <c r="F33" s="626">
        <f>C21</f>
        <v>6662.93</v>
      </c>
      <c r="G33" s="628">
        <f t="shared" si="0"/>
        <v>0.15</v>
      </c>
      <c r="H33" s="626">
        <f t="shared" si="1"/>
        <v>9.99</v>
      </c>
    </row>
    <row r="34" spans="1:8" ht="0.75" hidden="1" customHeight="1" x14ac:dyDescent="0.25">
      <c r="A34" s="1133"/>
      <c r="B34" s="1133"/>
      <c r="C34" s="629"/>
      <c r="D34" s="630"/>
      <c r="E34" s="723"/>
      <c r="F34" s="629"/>
      <c r="G34" s="633"/>
      <c r="H34" s="629"/>
    </row>
    <row r="35" spans="1:8" ht="0.75" hidden="1" customHeight="1" x14ac:dyDescent="0.25">
      <c r="A35" s="1130" t="s">
        <v>814</v>
      </c>
      <c r="B35" s="1130"/>
      <c r="C35" s="626">
        <f>C31</f>
        <v>3311</v>
      </c>
      <c r="D35" s="627">
        <f t="shared" ref="D35:D40" si="2">VLOOKUP(A35,TAUX2015,2,0)</f>
        <v>3.1</v>
      </c>
      <c r="E35" s="725">
        <f t="shared" ref="E35:E40" si="3">ROUND(C35*D35/100,2)</f>
        <v>102.64</v>
      </c>
      <c r="F35" s="626">
        <f t="shared" ref="F35:F40" si="4">C35</f>
        <v>3311</v>
      </c>
      <c r="G35" s="628">
        <f t="shared" ref="G35:G40" si="5">VLOOKUP(A35,TAUX2015,3,0)</f>
        <v>4.6500000000000004</v>
      </c>
      <c r="H35" s="626">
        <f t="shared" ref="H35:H40" si="6">ROUND(F35*G35/100,2)</f>
        <v>153.96</v>
      </c>
    </row>
    <row r="36" spans="1:8" ht="0.75" hidden="1" customHeight="1" x14ac:dyDescent="0.25">
      <c r="A36" s="1131" t="s">
        <v>815</v>
      </c>
      <c r="B36" s="1131"/>
      <c r="C36" s="626">
        <f>C31</f>
        <v>3311</v>
      </c>
      <c r="D36" s="627">
        <f t="shared" si="2"/>
        <v>0.8</v>
      </c>
      <c r="E36" s="725">
        <f t="shared" si="3"/>
        <v>26.49</v>
      </c>
      <c r="F36" s="626">
        <f t="shared" si="4"/>
        <v>3311</v>
      </c>
      <c r="G36" s="628">
        <f t="shared" si="5"/>
        <v>1.2</v>
      </c>
      <c r="H36" s="626">
        <f t="shared" si="6"/>
        <v>39.729999999999997</v>
      </c>
    </row>
    <row r="37" spans="1:8" ht="0.75" hidden="1" customHeight="1" x14ac:dyDescent="0.25">
      <c r="A37" s="1131" t="s">
        <v>816</v>
      </c>
      <c r="B37" s="1131"/>
      <c r="C37" s="626">
        <f>C32</f>
        <v>3351.9300000000003</v>
      </c>
      <c r="D37" s="627">
        <f t="shared" si="2"/>
        <v>7.8</v>
      </c>
      <c r="E37" s="725">
        <f t="shared" si="3"/>
        <v>261.45</v>
      </c>
      <c r="F37" s="626">
        <f t="shared" si="4"/>
        <v>3351.9300000000003</v>
      </c>
      <c r="G37" s="628">
        <f t="shared" si="5"/>
        <v>12.75</v>
      </c>
      <c r="H37" s="626">
        <f t="shared" si="6"/>
        <v>427.37</v>
      </c>
    </row>
    <row r="38" spans="1:8" ht="0.75" hidden="1" customHeight="1" x14ac:dyDescent="0.25">
      <c r="A38" s="1131" t="s">
        <v>817</v>
      </c>
      <c r="B38" s="1131"/>
      <c r="C38" s="626">
        <f>C37</f>
        <v>3351.9300000000003</v>
      </c>
      <c r="D38" s="627">
        <f t="shared" si="2"/>
        <v>0.9</v>
      </c>
      <c r="E38" s="725">
        <f t="shared" si="3"/>
        <v>30.17</v>
      </c>
      <c r="F38" s="626">
        <f t="shared" si="4"/>
        <v>3351.9300000000003</v>
      </c>
      <c r="G38" s="628">
        <f t="shared" si="5"/>
        <v>1.3</v>
      </c>
      <c r="H38" s="626">
        <f t="shared" si="6"/>
        <v>43.58</v>
      </c>
    </row>
    <row r="39" spans="1:8" ht="0.75" hidden="1" customHeight="1" x14ac:dyDescent="0.25">
      <c r="A39" s="1127" t="s">
        <v>818</v>
      </c>
      <c r="B39" s="1127"/>
      <c r="C39" s="626">
        <f>C21</f>
        <v>6662.93</v>
      </c>
      <c r="D39" s="627">
        <f t="shared" si="2"/>
        <v>0.13</v>
      </c>
      <c r="E39" s="725">
        <f t="shared" si="3"/>
        <v>8.66</v>
      </c>
      <c r="F39" s="626">
        <f t="shared" si="4"/>
        <v>6662.93</v>
      </c>
      <c r="G39" s="628">
        <f t="shared" si="5"/>
        <v>0.22</v>
      </c>
      <c r="H39" s="626">
        <f t="shared" si="6"/>
        <v>14.66</v>
      </c>
    </row>
    <row r="40" spans="1:8" ht="0.75" hidden="1" customHeight="1" x14ac:dyDescent="0.25">
      <c r="A40" s="1128" t="s">
        <v>819</v>
      </c>
      <c r="B40" s="1128"/>
      <c r="C40" s="626">
        <f>C21</f>
        <v>6662.93</v>
      </c>
      <c r="D40" s="627">
        <f t="shared" si="2"/>
        <v>2.4E-2</v>
      </c>
      <c r="E40" s="725">
        <f t="shared" si="3"/>
        <v>1.6</v>
      </c>
      <c r="F40" s="626">
        <f t="shared" si="4"/>
        <v>6662.93</v>
      </c>
      <c r="G40" s="628">
        <f t="shared" si="5"/>
        <v>3.5999999999999997E-2</v>
      </c>
      <c r="H40" s="626">
        <f t="shared" si="6"/>
        <v>2.4</v>
      </c>
    </row>
    <row r="41" spans="1:8" ht="0.75" hidden="1" customHeight="1" x14ac:dyDescent="0.25"/>
    <row r="42" spans="1:8" ht="0.75" hidden="1" customHeight="1" x14ac:dyDescent="0.25">
      <c r="A42" s="607" t="str">
        <f>'[1]Table des taux '!A32</f>
        <v>Prévoyance Cadre frais de santé TA</v>
      </c>
      <c r="C42" s="629">
        <f>'[1]Table des taux '!B51</f>
        <v>3311</v>
      </c>
      <c r="D42" s="627">
        <f>VLOOKUP(A42,TAUX2015,2,0)</f>
        <v>1.7</v>
      </c>
      <c r="E42" s="725">
        <f>ROUND(C42*D42/100,2)</f>
        <v>56.29</v>
      </c>
      <c r="F42" s="629">
        <f>C42</f>
        <v>3311</v>
      </c>
      <c r="G42" s="628">
        <f>VLOOKUP(A42,TAUX2015,3,0)</f>
        <v>2.27</v>
      </c>
      <c r="H42" s="629">
        <f>ROUND(F42*G42/100,2)</f>
        <v>75.16</v>
      </c>
    </row>
    <row r="43" spans="1:8" ht="0.75" hidden="1" customHeight="1" x14ac:dyDescent="0.25">
      <c r="A43" s="631" t="s">
        <v>820</v>
      </c>
      <c r="B43" s="631"/>
      <c r="C43" s="626">
        <f>C42</f>
        <v>3311</v>
      </c>
      <c r="D43" s="627"/>
      <c r="E43" s="725">
        <f>ROUND(C43*D43/100,2)</f>
        <v>0</v>
      </c>
      <c r="F43" s="626">
        <f>C43</f>
        <v>3311</v>
      </c>
      <c r="G43" s="628">
        <v>1.5</v>
      </c>
      <c r="H43" s="626">
        <f>ROUND(F43*G43/100,2)</f>
        <v>49.67</v>
      </c>
    </row>
    <row r="44" spans="1:8" ht="0.75" hidden="1" customHeight="1" x14ac:dyDescent="0.25">
      <c r="A44" s="631"/>
      <c r="B44" s="631"/>
      <c r="C44" s="626"/>
      <c r="D44" s="627"/>
      <c r="E44" s="725"/>
      <c r="F44" s="626"/>
      <c r="G44" s="628"/>
      <c r="H44" s="626"/>
    </row>
    <row r="45" spans="1:8" ht="0.75" hidden="1" customHeight="1" x14ac:dyDescent="0.25">
      <c r="A45" s="1112" t="s">
        <v>821</v>
      </c>
      <c r="B45" s="1112"/>
      <c r="C45" s="626"/>
      <c r="D45" s="627"/>
      <c r="E45" s="725"/>
      <c r="F45" s="626"/>
      <c r="G45" s="628"/>
      <c r="H45" s="626">
        <f>'[1]TR ex 2  '!D24</f>
        <v>154</v>
      </c>
    </row>
    <row r="46" spans="1:8" ht="0.75" hidden="1" customHeight="1" x14ac:dyDescent="0.25">
      <c r="A46" s="1113" t="s">
        <v>822</v>
      </c>
      <c r="B46" s="1113"/>
      <c r="C46" s="626"/>
      <c r="D46" s="627"/>
      <c r="E46" s="725"/>
      <c r="F46" s="626">
        <f>C14</f>
        <v>17.329999999999998</v>
      </c>
      <c r="G46" s="628">
        <v>1.5</v>
      </c>
      <c r="H46" s="626">
        <f>-F46*G46</f>
        <v>-25.994999999999997</v>
      </c>
    </row>
    <row r="47" spans="1:8" ht="0.75" hidden="1" customHeight="1" x14ac:dyDescent="0.25">
      <c r="A47" s="1114" t="s">
        <v>823</v>
      </c>
      <c r="B47" s="1114"/>
      <c r="C47" s="626">
        <f>(E17*0.9825+H42+43)</f>
        <v>6664.4887250000002</v>
      </c>
      <c r="D47" s="627">
        <f>VLOOKUP(A47,TAUX2015,2,0)</f>
        <v>6.8</v>
      </c>
      <c r="E47" s="725">
        <f>ROUND(C47*D47/100,2)</f>
        <v>453.19</v>
      </c>
      <c r="F47" s="629"/>
      <c r="G47" s="633"/>
      <c r="H47" s="629"/>
    </row>
    <row r="48" spans="1:8" ht="0.75" hidden="1" customHeight="1" x14ac:dyDescent="0.25">
      <c r="A48" s="634" t="s">
        <v>824</v>
      </c>
      <c r="B48" s="635"/>
      <c r="C48" s="1115"/>
      <c r="D48" s="1115"/>
      <c r="E48" s="727">
        <f>SUM(E21:E47)</f>
        <v>1258.8899999999999</v>
      </c>
      <c r="F48" s="1116" t="s">
        <v>59</v>
      </c>
      <c r="G48" s="1115"/>
      <c r="H48" s="636" t="e">
        <f>SUM(H21:H47)</f>
        <v>#N/A</v>
      </c>
    </row>
    <row r="49" spans="1:10" ht="0.75" hidden="1" customHeight="1" x14ac:dyDescent="0.25">
      <c r="A49" s="610" t="s">
        <v>825</v>
      </c>
      <c r="B49" s="599"/>
      <c r="C49" s="626">
        <f>C47</f>
        <v>6664.4887250000002</v>
      </c>
      <c r="D49" s="627">
        <f>VLOOKUP(A49,TAUX2015,2,0)</f>
        <v>2.9</v>
      </c>
      <c r="E49" s="725">
        <f>ROUND(C49*D49/100,2)</f>
        <v>193.27</v>
      </c>
      <c r="F49" s="1117"/>
      <c r="G49" s="1118"/>
      <c r="H49" s="629"/>
    </row>
    <row r="50" spans="1:10" ht="0.75" hidden="1" customHeight="1" x14ac:dyDescent="0.25">
      <c r="A50" s="638" t="s">
        <v>826</v>
      </c>
      <c r="B50" s="639"/>
      <c r="C50" s="637"/>
      <c r="D50" s="627"/>
      <c r="E50" s="727">
        <f>E48+E49</f>
        <v>1452.1599999999999</v>
      </c>
      <c r="F50" s="629"/>
      <c r="G50" s="633"/>
      <c r="H50" s="629"/>
    </row>
    <row r="51" spans="1:10" ht="0.75" hidden="1" customHeight="1" x14ac:dyDescent="0.25">
      <c r="A51" s="610" t="s">
        <v>827</v>
      </c>
      <c r="B51" s="639"/>
      <c r="C51" s="637"/>
      <c r="D51" s="627"/>
      <c r="E51" s="727">
        <f>'[1]TR ex 2  '!D26</f>
        <v>66</v>
      </c>
      <c r="F51" s="629"/>
    </row>
    <row r="52" spans="1:10" ht="0.75" hidden="1" customHeight="1" x14ac:dyDescent="0.25">
      <c r="A52" s="640" t="s">
        <v>828</v>
      </c>
      <c r="B52" s="641"/>
      <c r="C52" s="637"/>
      <c r="D52" s="627"/>
      <c r="E52" s="728">
        <v>35</v>
      </c>
      <c r="F52" s="1101" t="s">
        <v>463</v>
      </c>
      <c r="G52" s="1101"/>
      <c r="H52" s="197">
        <f>E17-E50-E51+E52-E15</f>
        <v>5145.2300000000005</v>
      </c>
    </row>
    <row r="53" spans="1:10" ht="0.75" hidden="1" customHeight="1" x14ac:dyDescent="0.25">
      <c r="F53" s="190"/>
      <c r="H53" s="629"/>
    </row>
    <row r="54" spans="1:10" ht="0.75" hidden="1" customHeight="1" x14ac:dyDescent="0.25">
      <c r="C54" s="190"/>
      <c r="D54" s="630"/>
      <c r="E54" s="1119" t="s">
        <v>829</v>
      </c>
      <c r="F54" s="1119"/>
      <c r="G54" s="1119"/>
      <c r="H54" s="1119"/>
      <c r="I54" s="200"/>
      <c r="J54" s="200"/>
    </row>
    <row r="55" spans="1:10" ht="0.75" hidden="1" customHeight="1" x14ac:dyDescent="0.25">
      <c r="C55" s="1120" t="s">
        <v>830</v>
      </c>
      <c r="D55" s="1120"/>
      <c r="E55" s="1121" t="s">
        <v>831</v>
      </c>
      <c r="F55" s="1122"/>
      <c r="G55" s="1122"/>
      <c r="H55" s="1122"/>
    </row>
    <row r="56" spans="1:10" ht="0.75" hidden="1" customHeight="1" x14ac:dyDescent="0.25">
      <c r="A56" s="1108" t="s">
        <v>187</v>
      </c>
      <c r="B56" s="1109"/>
      <c r="C56" s="1110">
        <f>E17</f>
        <v>6662.93</v>
      </c>
      <c r="D56" s="1111"/>
      <c r="E56" s="1121"/>
      <c r="F56" s="1122"/>
      <c r="G56" s="1122"/>
      <c r="H56" s="1122"/>
    </row>
    <row r="57" spans="1:10" ht="0.75" hidden="1" customHeight="1" x14ac:dyDescent="0.25">
      <c r="A57" s="1097" t="s">
        <v>57</v>
      </c>
      <c r="B57" s="1098"/>
      <c r="C57" s="1099">
        <f>E48+E49</f>
        <v>1452.1599999999999</v>
      </c>
      <c r="D57" s="1100"/>
      <c r="F57" s="1101" t="s">
        <v>65</v>
      </c>
      <c r="G57" s="1101"/>
      <c r="H57" s="199">
        <f>E13+E14-E48+H45+H42</f>
        <v>5598.6638814531543</v>
      </c>
    </row>
    <row r="58" spans="1:10" ht="0.75" hidden="1" customHeight="1" x14ac:dyDescent="0.25">
      <c r="A58" s="1097" t="s">
        <v>59</v>
      </c>
      <c r="B58" s="1098"/>
      <c r="C58" s="1099" t="e">
        <f>H48</f>
        <v>#N/A</v>
      </c>
      <c r="D58" s="1100"/>
      <c r="E58" s="1102" t="s">
        <v>832</v>
      </c>
      <c r="F58" s="1103"/>
      <c r="G58" s="1103"/>
      <c r="H58" s="1103"/>
    </row>
    <row r="59" spans="1:10" ht="0.75" hidden="1" customHeight="1" x14ac:dyDescent="0.25">
      <c r="A59" s="1097" t="s">
        <v>60</v>
      </c>
      <c r="B59" s="1098"/>
      <c r="C59" s="1104"/>
      <c r="D59" s="1105"/>
      <c r="E59" s="1102"/>
      <c r="F59" s="1103"/>
      <c r="G59" s="1103"/>
      <c r="H59" s="1103"/>
    </row>
    <row r="60" spans="1:10" ht="0.75" hidden="1" customHeight="1" x14ac:dyDescent="0.25">
      <c r="A60" s="1123" t="s">
        <v>67</v>
      </c>
      <c r="B60" s="1124"/>
      <c r="C60" s="1125">
        <f>H57</f>
        <v>5598.6638814531543</v>
      </c>
      <c r="D60" s="1126"/>
      <c r="H60" s="190" t="s">
        <v>833</v>
      </c>
    </row>
    <row r="61" spans="1:10" ht="0.75" hidden="1" customHeight="1" x14ac:dyDescent="0.25">
      <c r="A61" s="642"/>
      <c r="B61" s="642"/>
      <c r="C61" s="629"/>
      <c r="D61" s="629"/>
      <c r="F61" s="188" t="s">
        <v>68</v>
      </c>
      <c r="H61" s="188">
        <v>169</v>
      </c>
    </row>
    <row r="62" spans="1:10" ht="0.75" hidden="1" customHeight="1" x14ac:dyDescent="0.25">
      <c r="A62" s="642"/>
      <c r="B62" s="642"/>
      <c r="C62" s="629"/>
      <c r="D62" s="630"/>
      <c r="F62" s="188" t="s">
        <v>834</v>
      </c>
      <c r="H62" s="188">
        <v>17.329999999999998</v>
      </c>
    </row>
    <row r="63" spans="1:10" ht="0.75" hidden="1" customHeight="1" x14ac:dyDescent="0.25"/>
    <row r="64" spans="1:10" x14ac:dyDescent="0.25">
      <c r="A64" s="1088" t="s">
        <v>835</v>
      </c>
      <c r="B64" s="1088"/>
      <c r="D64" s="643"/>
      <c r="E64" s="188" t="s">
        <v>980</v>
      </c>
    </row>
    <row r="65" spans="1:7" x14ac:dyDescent="0.25">
      <c r="C65" s="659"/>
      <c r="D65" s="643"/>
    </row>
    <row r="66" spans="1:7" ht="27.75" customHeight="1" x14ac:dyDescent="0.25">
      <c r="A66" s="645">
        <v>6333</v>
      </c>
      <c r="B66" s="646" t="s">
        <v>836</v>
      </c>
      <c r="C66" s="739">
        <f>'BP FORMAT JUILLET 2023'!E131*0.59/0.68</f>
        <v>13.413823529411763</v>
      </c>
      <c r="D66" s="545" t="s">
        <v>977</v>
      </c>
      <c r="E66" s="726" t="s">
        <v>838</v>
      </c>
      <c r="F66" s="1089" t="s">
        <v>837</v>
      </c>
      <c r="G66" s="1090"/>
    </row>
    <row r="67" spans="1:7" ht="28.5" customHeight="1" x14ac:dyDescent="0.25">
      <c r="A67" s="645">
        <v>6335</v>
      </c>
      <c r="B67" s="647" t="s">
        <v>839</v>
      </c>
      <c r="C67" s="740">
        <f>'BP FORMAT JUILLET 2023'!E131-'COMPTABILISATION 2026'!C66</f>
        <v>2.0461764705882377</v>
      </c>
      <c r="D67" s="735" t="s">
        <v>977</v>
      </c>
      <c r="E67" s="726" t="s">
        <v>838</v>
      </c>
      <c r="F67" s="1091"/>
      <c r="G67" s="1092"/>
    </row>
    <row r="68" spans="1:7" x14ac:dyDescent="0.25">
      <c r="A68" s="645">
        <v>6333</v>
      </c>
      <c r="B68" s="649" t="s">
        <v>836</v>
      </c>
      <c r="C68" s="741">
        <f>'BP FORMAT JUILLET 2023'!E132+'BP FORMAT JUILLET 2023'!E133</f>
        <v>22.73</v>
      </c>
      <c r="D68" s="735" t="s">
        <v>977</v>
      </c>
      <c r="F68" s="1091"/>
      <c r="G68" s="1092"/>
    </row>
    <row r="69" spans="1:7" x14ac:dyDescent="0.25">
      <c r="A69" s="645">
        <v>6331</v>
      </c>
      <c r="B69" s="650" t="s">
        <v>840</v>
      </c>
      <c r="C69" s="742">
        <f>'BP FORMAT JUILLET 2023'!E126</f>
        <v>13.64</v>
      </c>
      <c r="D69" s="735" t="s">
        <v>977</v>
      </c>
      <c r="E69" s="726" t="s">
        <v>838</v>
      </c>
      <c r="F69" s="1091"/>
      <c r="G69" s="1092"/>
    </row>
    <row r="70" spans="1:7" x14ac:dyDescent="0.25">
      <c r="A70" s="645">
        <v>6332</v>
      </c>
      <c r="B70" s="650" t="s">
        <v>841</v>
      </c>
      <c r="C70" s="743">
        <f>'BP FORMAT JUILLET 2023'!E124+'BP FORMAT JUILLET 2023'!E125</f>
        <v>2.27</v>
      </c>
      <c r="D70" s="735" t="s">
        <v>977</v>
      </c>
      <c r="E70" s="726" t="s">
        <v>838</v>
      </c>
      <c r="F70" s="1091"/>
      <c r="G70" s="1092"/>
    </row>
    <row r="71" spans="1:7" x14ac:dyDescent="0.25">
      <c r="A71" s="645" t="s">
        <v>842</v>
      </c>
      <c r="B71" s="651" t="s">
        <v>87</v>
      </c>
      <c r="C71" s="744">
        <f>'BP FORMAT JUILLET 2023'!E134</f>
        <v>0</v>
      </c>
      <c r="D71" s="648"/>
      <c r="F71" s="1091"/>
      <c r="G71" s="1092"/>
    </row>
    <row r="72" spans="1:7" x14ac:dyDescent="0.25">
      <c r="A72" s="645">
        <v>6451</v>
      </c>
      <c r="B72" s="651" t="s">
        <v>93</v>
      </c>
      <c r="C72" s="744">
        <f>'BP FORMAT JUILLET 2023'!E128+'BP FORMAT JUILLET 2023'!E129</f>
        <v>7.27</v>
      </c>
      <c r="D72" s="648"/>
      <c r="E72" s="811" t="s">
        <v>982</v>
      </c>
      <c r="F72" s="1091"/>
      <c r="G72" s="1092"/>
    </row>
    <row r="73" spans="1:7" x14ac:dyDescent="0.25">
      <c r="A73" s="645">
        <v>6338</v>
      </c>
      <c r="B73" s="650" t="s">
        <v>92</v>
      </c>
      <c r="C73" s="745">
        <f>'BP FORMAT JUILLET 2023'!E135-'COMPTABILISATION 2026'!C66-'COMPTABILISATION 2026'!C67-'COMPTABILISATION 2026'!C68-'COMPTABILISATION 2026'!C69-'COMPTABILISATION 2026'!C70-C71-C72</f>
        <v>7.1799999999999962</v>
      </c>
      <c r="D73" s="735" t="s">
        <v>977</v>
      </c>
      <c r="E73" s="726" t="s">
        <v>838</v>
      </c>
      <c r="F73" s="1091"/>
      <c r="G73" s="1092"/>
    </row>
    <row r="74" spans="1:7" s="607" customFormat="1" ht="15.6" customHeight="1" x14ac:dyDescent="0.25">
      <c r="A74" s="645">
        <v>6451</v>
      </c>
      <c r="B74" s="652" t="s">
        <v>10</v>
      </c>
      <c r="C74" s="746">
        <f>'BP FORMAT JUILLET 2023'!G37+'BP FORMAT JUILLET 2023'!G38+'BP FORMAT JUILLET 2023'!G49+'BP FORMAT JUILLET 2023'!G51+'BP FORMAT JUILLET 2023'!G52+'BP FORMAT JUILLET 2023'!G58+'BP FORMAT JUILLET 2023'!G59-'DISPATCH RGDU 2026 '!C15</f>
        <v>173.1539562923889</v>
      </c>
      <c r="D74" s="735" t="s">
        <v>977</v>
      </c>
      <c r="E74" s="726" t="s">
        <v>838</v>
      </c>
      <c r="F74" s="1091"/>
      <c r="G74" s="1092"/>
    </row>
    <row r="75" spans="1:7" s="607" customFormat="1" x14ac:dyDescent="0.25">
      <c r="A75" s="645">
        <v>6452</v>
      </c>
      <c r="B75" s="652" t="s">
        <v>974</v>
      </c>
      <c r="C75" s="747">
        <f>'BP FORMAT JUILLET 2023'!G75+'BP FORMAT JUILLET 2023'!G76+'BP FORMAT JUILLET 2023'!G40+'BP FORMAT JUILLET 2023'!G43</f>
        <v>90.92</v>
      </c>
      <c r="D75" s="648"/>
      <c r="E75" s="632"/>
      <c r="F75" s="1091"/>
      <c r="G75" s="1092"/>
    </row>
    <row r="76" spans="1:7" s="607" customFormat="1" x14ac:dyDescent="0.25">
      <c r="A76" s="645">
        <v>6453</v>
      </c>
      <c r="B76" s="652" t="s">
        <v>780</v>
      </c>
      <c r="C76" s="747">
        <f>'BP FORMAT JUILLET 2023'!G53+'BP FORMAT JUILLET 2023'!G54-'DISPATCH RGDU 2026 '!C16</f>
        <v>45.296043707611176</v>
      </c>
      <c r="D76" s="648"/>
      <c r="E76" s="730"/>
      <c r="F76" s="1091"/>
      <c r="G76" s="1092"/>
    </row>
    <row r="77" spans="1:7" s="607" customFormat="1" x14ac:dyDescent="0.25">
      <c r="A77" s="645">
        <v>6454</v>
      </c>
      <c r="B77" s="652" t="s">
        <v>843</v>
      </c>
      <c r="C77" s="746">
        <f>'BP FORMAT JUILLET 2023'!G61+'BP FORMAT JUILLET 2023'!G63</f>
        <v>97.429999999999993</v>
      </c>
      <c r="D77" s="735" t="s">
        <v>977</v>
      </c>
      <c r="E77" s="730"/>
      <c r="F77" s="1091"/>
      <c r="G77" s="1092"/>
    </row>
    <row r="78" spans="1:7" s="607" customFormat="1" x14ac:dyDescent="0.25">
      <c r="A78" s="645">
        <v>648</v>
      </c>
      <c r="B78" s="652" t="s">
        <v>844</v>
      </c>
      <c r="C78" s="197">
        <f>'BP FORMAT JUILLET 2023'!G80</f>
        <v>132</v>
      </c>
      <c r="D78" s="648"/>
      <c r="E78" s="730" t="s">
        <v>981</v>
      </c>
      <c r="F78" s="1091"/>
      <c r="G78" s="1092"/>
    </row>
    <row r="79" spans="1:7" s="607" customFormat="1" x14ac:dyDescent="0.25">
      <c r="A79" s="39">
        <v>6475</v>
      </c>
      <c r="B79" s="653" t="s">
        <v>845</v>
      </c>
      <c r="C79" s="611"/>
      <c r="D79" s="654"/>
      <c r="E79" s="730"/>
      <c r="F79" s="1091"/>
      <c r="G79" s="1092"/>
    </row>
    <row r="80" spans="1:7" s="607" customFormat="1" x14ac:dyDescent="0.25">
      <c r="A80" s="655"/>
      <c r="B80" s="614">
        <v>431</v>
      </c>
      <c r="C80" s="656" t="s">
        <v>10</v>
      </c>
      <c r="D80" s="657">
        <f>C69+C70+C73+C74+C77+C68+C66-'BP FORMAT JUILLET 2023'!G63</f>
        <v>328.99777982180069</v>
      </c>
      <c r="E80" s="730"/>
      <c r="F80" s="1091"/>
      <c r="G80" s="1092"/>
    </row>
    <row r="81" spans="1:8" x14ac:dyDescent="0.25">
      <c r="A81" s="655"/>
      <c r="B81" s="614">
        <v>4372</v>
      </c>
      <c r="C81" s="656" t="s">
        <v>780</v>
      </c>
      <c r="D81" s="658">
        <f>C76+'BP FORMAT JUILLET 2023'!G63</f>
        <v>46.116043707611176</v>
      </c>
      <c r="E81" s="730"/>
      <c r="F81" s="1091"/>
      <c r="G81" s="1092"/>
    </row>
    <row r="82" spans="1:8" x14ac:dyDescent="0.25">
      <c r="A82" s="655"/>
      <c r="B82" s="614">
        <v>4374</v>
      </c>
      <c r="C82" s="656" t="s">
        <v>846</v>
      </c>
      <c r="D82" s="658">
        <f>C75</f>
        <v>90.92</v>
      </c>
      <c r="E82" s="730"/>
      <c r="F82" s="1091"/>
      <c r="G82" s="1092"/>
    </row>
    <row r="83" spans="1:8" x14ac:dyDescent="0.25">
      <c r="A83" s="655"/>
      <c r="B83" s="614">
        <v>4375</v>
      </c>
      <c r="C83" s="656" t="s">
        <v>847</v>
      </c>
      <c r="D83" s="658">
        <v>132</v>
      </c>
      <c r="E83" s="730" t="s">
        <v>989</v>
      </c>
      <c r="F83" s="1091"/>
      <c r="G83" s="1092"/>
    </row>
    <row r="84" spans="1:8" x14ac:dyDescent="0.25">
      <c r="A84" s="655"/>
      <c r="B84" s="614">
        <v>4376</v>
      </c>
      <c r="C84" s="656" t="s">
        <v>845</v>
      </c>
      <c r="D84" s="658"/>
      <c r="E84" s="730"/>
      <c r="F84" s="1091"/>
      <c r="G84" s="1092"/>
    </row>
    <row r="85" spans="1:8" ht="31.5" x14ac:dyDescent="0.25">
      <c r="A85" s="660"/>
      <c r="B85" s="661" t="s">
        <v>848</v>
      </c>
      <c r="C85" s="662" t="s">
        <v>849</v>
      </c>
      <c r="D85" s="663">
        <f>C67+C72</f>
        <v>9.3161764705882373</v>
      </c>
      <c r="E85" s="748" t="s">
        <v>982</v>
      </c>
      <c r="F85" s="1091"/>
      <c r="G85" s="1092"/>
    </row>
    <row r="86" spans="1:8" x14ac:dyDescent="0.25">
      <c r="A86" s="660"/>
      <c r="B86" s="664"/>
      <c r="C86" s="665">
        <f>SUM(C66:C79)</f>
        <v>607.35000000000014</v>
      </c>
      <c r="D86" s="665">
        <f>SUM(D80:D85)</f>
        <v>607.35000000000014</v>
      </c>
      <c r="E86" s="731"/>
      <c r="F86" s="1093"/>
      <c r="G86" s="1094"/>
    </row>
    <row r="87" spans="1:8" x14ac:dyDescent="0.25">
      <c r="A87" s="666" t="s">
        <v>850</v>
      </c>
      <c r="B87" s="666"/>
      <c r="C87" s="666"/>
      <c r="D87" s="643"/>
      <c r="E87" s="732"/>
      <c r="F87" s="816">
        <f>D86</f>
        <v>607.35000000000014</v>
      </c>
      <c r="H87" s="659"/>
    </row>
    <row r="88" spans="1:8" x14ac:dyDescent="0.25">
      <c r="B88" s="621">
        <f>'BP FORMAT JUILLET 2023'!G73+'BP FORMAT JUILLET 2023'!G76</f>
        <v>470.35000000000019</v>
      </c>
      <c r="C88" s="188" t="s">
        <v>851</v>
      </c>
      <c r="D88" s="643"/>
      <c r="E88" s="732"/>
      <c r="F88" s="659">
        <f>-D83</f>
        <v>-132</v>
      </c>
      <c r="G88" s="188" t="s">
        <v>847</v>
      </c>
    </row>
    <row r="89" spans="1:8" x14ac:dyDescent="0.25">
      <c r="B89" s="667">
        <f>+'BP VERSION JANVIER 2023'!G73</f>
        <v>470.35</v>
      </c>
      <c r="C89" s="188" t="s">
        <v>976</v>
      </c>
      <c r="D89" s="643"/>
      <c r="E89" s="732"/>
      <c r="F89" s="750">
        <f>SUM(F87:F88)</f>
        <v>475.35000000000014</v>
      </c>
    </row>
    <row r="90" spans="1:8" x14ac:dyDescent="0.25">
      <c r="B90" s="200"/>
      <c r="D90" s="737"/>
      <c r="E90" s="738"/>
      <c r="H90" s="600"/>
    </row>
    <row r="91" spans="1:8" ht="15.6" customHeight="1" x14ac:dyDescent="0.25">
      <c r="A91" s="196">
        <v>6411</v>
      </c>
      <c r="B91" s="560" t="s">
        <v>799</v>
      </c>
      <c r="C91" s="621">
        <f>'BP FORMAT JUILLET 2023'!J33-'BP FORMAT JUILLET 2023'!J29-'BP FORMAT JUILLET 2023'!J28-'BP FORMAT JUILLET 2023'!J31-'BP FORMAT JUILLET 2023'!J17-'BP FORMAT JUILLET 2023'!J16-'BP FORMAT JUILLET 2023'!J15-'BP FORMAT JUILLET 2023'!J14</f>
        <v>2173.0700000000002</v>
      </c>
      <c r="D91" s="1095" t="s">
        <v>983</v>
      </c>
      <c r="E91" s="1096"/>
    </row>
    <row r="92" spans="1:8" x14ac:dyDescent="0.25">
      <c r="A92" s="196">
        <v>6412</v>
      </c>
      <c r="B92" s="614" t="s">
        <v>535</v>
      </c>
      <c r="C92" s="616">
        <f>'BP FORMAT JUILLET 2023'!J28+'BP FORMAT JUILLET 2023'!J29</f>
        <v>0</v>
      </c>
      <c r="D92" s="1095"/>
      <c r="E92" s="1096"/>
    </row>
    <row r="93" spans="1:8" x14ac:dyDescent="0.25">
      <c r="A93" s="196">
        <v>6413</v>
      </c>
      <c r="B93" s="614" t="s">
        <v>852</v>
      </c>
      <c r="C93" s="616">
        <f>'BP FORMAT JUILLET 2023'!J15+'BP FORMAT JUILLET 2023'!J16+'BP FORMAT JUILLET 2023'!J32</f>
        <v>100</v>
      </c>
      <c r="D93" s="1095"/>
      <c r="E93" s="1096"/>
    </row>
    <row r="94" spans="1:8" x14ac:dyDescent="0.25">
      <c r="A94" s="196">
        <v>6414</v>
      </c>
      <c r="B94" s="669" t="s">
        <v>56</v>
      </c>
      <c r="C94" s="616">
        <f>'BP FORMAT JUILLET 2023'!F81</f>
        <v>45.4</v>
      </c>
      <c r="D94" s="1095"/>
      <c r="E94" s="1096"/>
    </row>
    <row r="95" spans="1:8" x14ac:dyDescent="0.25">
      <c r="A95" s="196">
        <v>6417</v>
      </c>
      <c r="B95" s="669" t="s">
        <v>853</v>
      </c>
      <c r="C95" s="616">
        <f>+'BP FORMAT JUILLET 2023'!J14+'BP FORMAT JUILLET 2023'!J17</f>
        <v>0</v>
      </c>
      <c r="D95" s="1095"/>
      <c r="E95" s="1096"/>
    </row>
    <row r="96" spans="1:8" x14ac:dyDescent="0.25">
      <c r="A96" s="196">
        <v>4376</v>
      </c>
      <c r="B96" s="670" t="s">
        <v>854</v>
      </c>
      <c r="C96" s="671">
        <f>+'BP FORMAT JUILLET 2023'!F85</f>
        <v>0</v>
      </c>
      <c r="D96" s="1095"/>
      <c r="E96" s="1096"/>
    </row>
    <row r="97" spans="1:8" x14ac:dyDescent="0.25">
      <c r="A97" s="672"/>
      <c r="B97" s="673">
        <v>421</v>
      </c>
      <c r="C97" s="668" t="s">
        <v>855</v>
      </c>
      <c r="D97" s="709">
        <f>+'BP FORMAT JUILLET 2023'!J92</f>
        <v>1677.6400000000003</v>
      </c>
      <c r="E97" s="730"/>
      <c r="F97" s="1141" t="s">
        <v>995</v>
      </c>
    </row>
    <row r="98" spans="1:8" x14ac:dyDescent="0.25">
      <c r="A98" s="672"/>
      <c r="B98" s="673">
        <v>425</v>
      </c>
      <c r="C98" s="614" t="s">
        <v>856</v>
      </c>
      <c r="D98" s="710">
        <f>'BP FORMAT JUILLET 2023'!F83</f>
        <v>0</v>
      </c>
      <c r="E98" s="730"/>
      <c r="F98" s="1141"/>
    </row>
    <row r="99" spans="1:8" x14ac:dyDescent="0.25">
      <c r="A99" s="672"/>
      <c r="B99" s="673">
        <v>427</v>
      </c>
      <c r="C99" s="614" t="s">
        <v>857</v>
      </c>
      <c r="D99" s="710">
        <f>'BP FORMAT JUILLET 2023'!F84</f>
        <v>0</v>
      </c>
      <c r="E99" s="730"/>
      <c r="F99" s="1141"/>
    </row>
    <row r="100" spans="1:8" x14ac:dyDescent="0.25">
      <c r="A100" s="672"/>
      <c r="B100" s="673">
        <v>431</v>
      </c>
      <c r="C100" s="614" t="s">
        <v>10</v>
      </c>
      <c r="D100" s="616">
        <f>'BP FORMAT JUILLET 2023'!F73-'BP FORMAT JUILLET 2023'!F53-'BP FORMAT JUILLET 2023'!F54-'BP FORMAT JUILLET 2023'!F43-'BP FORMAT JUILLET 2023'!F40-'BP FORMAT JUILLET 2023'!F63</f>
        <v>371.8</v>
      </c>
      <c r="E100" s="730"/>
      <c r="F100" s="1141"/>
    </row>
    <row r="101" spans="1:8" x14ac:dyDescent="0.25">
      <c r="A101" s="672"/>
      <c r="B101" s="673">
        <v>4374</v>
      </c>
      <c r="C101" s="614" t="s">
        <v>974</v>
      </c>
      <c r="D101" s="674">
        <f>'BP FORMAT JUILLET 2023'!F75+'BP FORMAT JUILLET 2023'!F76+'BP FORMAT JUILLET 2023'!F40+'BP FORMAT JUILLET 2023'!F43</f>
        <v>22.73</v>
      </c>
      <c r="E101" s="730"/>
      <c r="F101" s="1141"/>
    </row>
    <row r="102" spans="1:8" x14ac:dyDescent="0.25">
      <c r="A102" s="672"/>
      <c r="B102" s="673">
        <v>4372</v>
      </c>
      <c r="C102" s="614" t="s">
        <v>858</v>
      </c>
      <c r="D102" s="674">
        <f>'BP FORMAT JUILLET 2023'!F53+'BP FORMAT JUILLET 2023'!F54+'BP FORMAT JUILLET 2023'!F63</f>
        <v>91.7</v>
      </c>
      <c r="E102" s="730"/>
      <c r="F102" s="1141"/>
    </row>
    <row r="103" spans="1:8" x14ac:dyDescent="0.25">
      <c r="A103" s="672"/>
      <c r="B103" s="673">
        <v>4375</v>
      </c>
      <c r="C103" s="614" t="s">
        <v>859</v>
      </c>
      <c r="D103" s="674">
        <f>'BP FORMAT JUILLET 2023'!F80</f>
        <v>132</v>
      </c>
      <c r="E103" s="730"/>
      <c r="F103" s="1141"/>
    </row>
    <row r="104" spans="1:8" x14ac:dyDescent="0.25">
      <c r="A104" s="672"/>
      <c r="B104" s="675">
        <v>4421</v>
      </c>
      <c r="C104" s="676" t="s">
        <v>860</v>
      </c>
      <c r="D104" s="674">
        <f>'BP VERSION JANVIER 2023'!H83</f>
        <v>22.6</v>
      </c>
      <c r="E104" s="730"/>
      <c r="F104" s="1141"/>
    </row>
    <row r="105" spans="1:8" x14ac:dyDescent="0.25">
      <c r="A105" s="672"/>
      <c r="B105" s="677" t="s">
        <v>1059</v>
      </c>
      <c r="C105" s="812" t="s">
        <v>1058</v>
      </c>
      <c r="D105" s="678">
        <f>C95</f>
        <v>0</v>
      </c>
      <c r="E105" s="730" t="s">
        <v>853</v>
      </c>
      <c r="F105" s="1141"/>
    </row>
    <row r="106" spans="1:8" x14ac:dyDescent="0.25">
      <c r="A106" s="679"/>
      <c r="B106" s="680"/>
      <c r="C106" s="667">
        <f>SUM(C91:C105)</f>
        <v>2318.4700000000003</v>
      </c>
      <c r="D106" s="681">
        <f>SUM(D91:D105)</f>
        <v>2318.4700000000003</v>
      </c>
      <c r="E106" s="733"/>
      <c r="F106" s="1141"/>
    </row>
    <row r="107" spans="1:8" ht="66" customHeight="1" x14ac:dyDescent="0.25">
      <c r="C107" s="200"/>
      <c r="D107" s="644">
        <f>C106-D106</f>
        <v>0</v>
      </c>
      <c r="E107" s="732"/>
      <c r="F107" s="682"/>
    </row>
    <row r="108" spans="1:8" ht="19.5" customHeight="1" x14ac:dyDescent="0.25">
      <c r="C108" s="200"/>
      <c r="D108" s="644"/>
      <c r="E108" s="732"/>
      <c r="F108" s="682"/>
    </row>
    <row r="109" spans="1:8" x14ac:dyDescent="0.25">
      <c r="B109" s="188" t="s">
        <v>861</v>
      </c>
    </row>
    <row r="110" spans="1:8" x14ac:dyDescent="0.25">
      <c r="B110" s="683" t="s">
        <v>862</v>
      </c>
    </row>
    <row r="111" spans="1:8" ht="15.6" customHeight="1" x14ac:dyDescent="0.25">
      <c r="A111" s="684" t="s">
        <v>863</v>
      </c>
      <c r="B111" s="1106" t="s">
        <v>988</v>
      </c>
      <c r="C111" s="1106"/>
      <c r="D111" s="1106"/>
      <c r="E111" s="1106"/>
      <c r="F111" s="1106"/>
      <c r="G111" s="1106"/>
      <c r="H111" s="1106"/>
    </row>
    <row r="112" spans="1:8" x14ac:dyDescent="0.25">
      <c r="B112" s="1106"/>
      <c r="C112" s="1106"/>
      <c r="D112" s="1106"/>
      <c r="E112" s="1106"/>
      <c r="F112" s="1106"/>
      <c r="G112" s="1106"/>
      <c r="H112" s="1106"/>
    </row>
    <row r="113" spans="1:8" x14ac:dyDescent="0.25">
      <c r="B113" s="1106"/>
      <c r="C113" s="1106"/>
      <c r="D113" s="1106"/>
      <c r="E113" s="1106"/>
      <c r="F113" s="1106"/>
      <c r="G113" s="1106"/>
      <c r="H113" s="1106"/>
    </row>
    <row r="114" spans="1:8" ht="9" customHeight="1" x14ac:dyDescent="0.25">
      <c r="B114" s="1107"/>
      <c r="C114" s="1107"/>
      <c r="D114" s="1107"/>
      <c r="E114" s="1107"/>
      <c r="F114" s="1107"/>
      <c r="G114" s="1107"/>
      <c r="H114" s="1107"/>
    </row>
    <row r="115" spans="1:8" ht="1.5" customHeight="1" x14ac:dyDescent="0.25">
      <c r="B115" s="1107"/>
      <c r="C115" s="1107"/>
      <c r="D115" s="1107"/>
      <c r="E115" s="1107"/>
      <c r="F115" s="1107"/>
      <c r="G115" s="1107"/>
      <c r="H115" s="1107"/>
    </row>
    <row r="116" spans="1:8" x14ac:dyDescent="0.25">
      <c r="B116" s="642" t="s">
        <v>864</v>
      </c>
      <c r="C116" s="642"/>
      <c r="D116" s="642"/>
      <c r="F116" s="642"/>
      <c r="G116" s="642"/>
      <c r="H116" s="642"/>
    </row>
    <row r="118" spans="1:8" x14ac:dyDescent="0.25">
      <c r="B118" s="188" t="s">
        <v>865</v>
      </c>
    </row>
    <row r="120" spans="1:8" x14ac:dyDescent="0.25">
      <c r="B120" s="685" t="s">
        <v>866</v>
      </c>
      <c r="C120" s="686" t="s">
        <v>867</v>
      </c>
      <c r="D120" s="1072" t="s">
        <v>757</v>
      </c>
      <c r="E120" s="1072"/>
      <c r="F120" s="686" t="s">
        <v>758</v>
      </c>
    </row>
    <row r="121" spans="1:8" ht="31.5" x14ac:dyDescent="0.25">
      <c r="A121" s="1073" t="s">
        <v>868</v>
      </c>
      <c r="B121" s="593">
        <v>648</v>
      </c>
      <c r="C121" s="593" t="s">
        <v>869</v>
      </c>
      <c r="D121" s="1076">
        <v>9</v>
      </c>
      <c r="E121" s="1077"/>
      <c r="F121" s="687"/>
    </row>
    <row r="122" spans="1:8" x14ac:dyDescent="0.25">
      <c r="A122" s="1074"/>
      <c r="B122" s="586">
        <v>6221</v>
      </c>
      <c r="C122" s="614" t="s">
        <v>870</v>
      </c>
      <c r="D122" s="1076" t="s">
        <v>871</v>
      </c>
      <c r="E122" s="1077"/>
      <c r="F122" s="688"/>
    </row>
    <row r="123" spans="1:8" x14ac:dyDescent="0.25">
      <c r="A123" s="1074"/>
      <c r="B123" s="586">
        <v>44566</v>
      </c>
      <c r="C123" s="614" t="s">
        <v>872</v>
      </c>
      <c r="D123" s="1076" t="s">
        <v>871</v>
      </c>
      <c r="E123" s="1077"/>
      <c r="F123" s="688"/>
    </row>
    <row r="124" spans="1:8" x14ac:dyDescent="0.25">
      <c r="A124" s="1075"/>
      <c r="B124" s="689" t="s">
        <v>873</v>
      </c>
      <c r="C124" s="617" t="s">
        <v>874</v>
      </c>
      <c r="D124" s="690"/>
      <c r="E124" s="734"/>
      <c r="F124" s="691" t="s">
        <v>871</v>
      </c>
    </row>
    <row r="126" spans="1:8" x14ac:dyDescent="0.25">
      <c r="B126" s="188" t="s">
        <v>875</v>
      </c>
    </row>
    <row r="128" spans="1:8" x14ac:dyDescent="0.25">
      <c r="D128" s="1072" t="s">
        <v>757</v>
      </c>
      <c r="E128" s="1072"/>
      <c r="F128" s="692" t="s">
        <v>758</v>
      </c>
    </row>
    <row r="129" spans="1:6" ht="32.25" customHeight="1" x14ac:dyDescent="0.25">
      <c r="A129" s="1073" t="s">
        <v>876</v>
      </c>
      <c r="B129" s="39">
        <v>421</v>
      </c>
      <c r="C129" s="39" t="s">
        <v>877</v>
      </c>
      <c r="D129" s="1085">
        <v>4</v>
      </c>
      <c r="E129" s="1085"/>
      <c r="F129" s="668"/>
    </row>
    <row r="130" spans="1:6" ht="45" customHeight="1" x14ac:dyDescent="0.25">
      <c r="A130" s="1075"/>
      <c r="B130" s="39">
        <v>648</v>
      </c>
      <c r="C130" s="39" t="s">
        <v>878</v>
      </c>
      <c r="D130" s="690"/>
      <c r="E130" s="734"/>
      <c r="F130" s="560">
        <v>4</v>
      </c>
    </row>
    <row r="132" spans="1:6" x14ac:dyDescent="0.25">
      <c r="B132" s="188" t="s">
        <v>879</v>
      </c>
    </row>
    <row r="134" spans="1:6" x14ac:dyDescent="0.25">
      <c r="B134" s="188" t="s">
        <v>880</v>
      </c>
    </row>
    <row r="136" spans="1:6" x14ac:dyDescent="0.25">
      <c r="B136" s="693">
        <v>648</v>
      </c>
      <c r="C136" s="694" t="s">
        <v>269</v>
      </c>
      <c r="D136" s="695"/>
    </row>
    <row r="137" spans="1:6" x14ac:dyDescent="0.25">
      <c r="B137" s="672"/>
      <c r="D137" s="696"/>
      <c r="E137" s="726" t="s">
        <v>881</v>
      </c>
    </row>
    <row r="138" spans="1:6" x14ac:dyDescent="0.25">
      <c r="B138" s="679"/>
      <c r="C138" s="680">
        <v>4375</v>
      </c>
      <c r="D138" s="697" t="s">
        <v>229</v>
      </c>
      <c r="E138" s="726" t="s">
        <v>882</v>
      </c>
    </row>
    <row r="139" spans="1:6" x14ac:dyDescent="0.25">
      <c r="B139" s="693">
        <v>421</v>
      </c>
      <c r="C139" s="694" t="s">
        <v>269</v>
      </c>
      <c r="D139" s="695"/>
    </row>
    <row r="140" spans="1:6" x14ac:dyDescent="0.25">
      <c r="B140" s="672"/>
      <c r="C140" s="188">
        <v>4375</v>
      </c>
      <c r="D140" s="696" t="s">
        <v>229</v>
      </c>
    </row>
    <row r="141" spans="1:6" x14ac:dyDescent="0.25">
      <c r="B141" s="679"/>
      <c r="C141" s="680"/>
      <c r="D141" s="697"/>
    </row>
    <row r="143" spans="1:6" x14ac:dyDescent="0.25">
      <c r="C143" s="200"/>
      <c r="D143" s="644"/>
      <c r="E143" s="732"/>
      <c r="F143" s="682"/>
    </row>
    <row r="144" spans="1:6" x14ac:dyDescent="0.25">
      <c r="C144" s="200"/>
      <c r="D144" s="644"/>
      <c r="E144" s="732"/>
      <c r="F144" s="682"/>
    </row>
    <row r="145" spans="1:6" x14ac:dyDescent="0.25">
      <c r="C145" s="200"/>
      <c r="D145" s="644"/>
      <c r="E145" s="732"/>
      <c r="F145" s="682"/>
    </row>
    <row r="146" spans="1:6" x14ac:dyDescent="0.25">
      <c r="C146" s="200"/>
      <c r="D146" s="644"/>
      <c r="E146" s="732"/>
      <c r="F146" s="682"/>
    </row>
    <row r="147" spans="1:6" x14ac:dyDescent="0.25">
      <c r="D147" s="643"/>
      <c r="E147" s="729"/>
    </row>
    <row r="148" spans="1:6" x14ac:dyDescent="0.25">
      <c r="A148" s="188" t="s">
        <v>883</v>
      </c>
    </row>
    <row r="149" spans="1:6" x14ac:dyDescent="0.25">
      <c r="A149" s="188" t="s">
        <v>884</v>
      </c>
    </row>
    <row r="150" spans="1:6" x14ac:dyDescent="0.25">
      <c r="A150" s="188" t="s">
        <v>885</v>
      </c>
    </row>
    <row r="151" spans="1:6" x14ac:dyDescent="0.25">
      <c r="A151" s="188" t="s">
        <v>886</v>
      </c>
    </row>
    <row r="152" spans="1:6" x14ac:dyDescent="0.25">
      <c r="A152" s="188" t="s">
        <v>887</v>
      </c>
    </row>
    <row r="154" spans="1:6" x14ac:dyDescent="0.25">
      <c r="A154" s="188" t="s">
        <v>888</v>
      </c>
    </row>
    <row r="155" spans="1:6" x14ac:dyDescent="0.25">
      <c r="A155" s="188" t="s">
        <v>889</v>
      </c>
    </row>
    <row r="156" spans="1:6" x14ac:dyDescent="0.25">
      <c r="A156" s="188" t="s">
        <v>890</v>
      </c>
    </row>
    <row r="157" spans="1:6" x14ac:dyDescent="0.25">
      <c r="A157" s="188" t="s">
        <v>891</v>
      </c>
    </row>
    <row r="158" spans="1:6" x14ac:dyDescent="0.25">
      <c r="A158" s="188" t="s">
        <v>892</v>
      </c>
    </row>
    <row r="159" spans="1:6" x14ac:dyDescent="0.25">
      <c r="A159" s="188" t="s">
        <v>893</v>
      </c>
    </row>
    <row r="160" spans="1:6" x14ac:dyDescent="0.25">
      <c r="A160" s="188" t="s">
        <v>894</v>
      </c>
    </row>
    <row r="162" spans="1:3" ht="14.25" customHeight="1" x14ac:dyDescent="0.25">
      <c r="A162" s="683" t="s">
        <v>895</v>
      </c>
    </row>
    <row r="163" spans="1:3" x14ac:dyDescent="0.25">
      <c r="A163" s="698" t="s">
        <v>896</v>
      </c>
    </row>
    <row r="164" spans="1:3" x14ac:dyDescent="0.25">
      <c r="A164" s="188" t="s">
        <v>897</v>
      </c>
    </row>
    <row r="165" spans="1:3" x14ac:dyDescent="0.25">
      <c r="A165" s="188" t="s">
        <v>898</v>
      </c>
    </row>
    <row r="166" spans="1:3" x14ac:dyDescent="0.25">
      <c r="A166" s="59" t="s">
        <v>899</v>
      </c>
    </row>
    <row r="167" spans="1:3" x14ac:dyDescent="0.25">
      <c r="A167" s="188" t="s">
        <v>900</v>
      </c>
    </row>
    <row r="168" spans="1:3" x14ac:dyDescent="0.25">
      <c r="A168" s="188" t="s">
        <v>901</v>
      </c>
    </row>
    <row r="169" spans="1:3" x14ac:dyDescent="0.25">
      <c r="A169" s="188" t="s">
        <v>902</v>
      </c>
    </row>
    <row r="170" spans="1:3" x14ac:dyDescent="0.25">
      <c r="A170" s="188" t="s">
        <v>903</v>
      </c>
    </row>
    <row r="171" spans="1:3" x14ac:dyDescent="0.25">
      <c r="A171" s="188" t="s">
        <v>904</v>
      </c>
    </row>
    <row r="173" spans="1:3" x14ac:dyDescent="0.25">
      <c r="A173" s="699" t="s">
        <v>906</v>
      </c>
      <c r="B173" s="683"/>
    </row>
    <row r="174" spans="1:3" x14ac:dyDescent="0.25">
      <c r="A174" s="699"/>
      <c r="B174" s="683"/>
      <c r="C174" s="736"/>
    </row>
    <row r="175" spans="1:3" x14ac:dyDescent="0.25">
      <c r="A175" s="188" t="s">
        <v>905</v>
      </c>
      <c r="B175" s="683"/>
      <c r="C175" s="736"/>
    </row>
    <row r="176" spans="1:3" x14ac:dyDescent="0.25">
      <c r="A176" s="736" t="s">
        <v>907</v>
      </c>
      <c r="B176" s="683"/>
    </row>
    <row r="177" spans="1:2" x14ac:dyDescent="0.25">
      <c r="A177" s="736"/>
      <c r="B177" s="683"/>
    </row>
    <row r="178" spans="1:2" x14ac:dyDescent="0.25">
      <c r="A178" s="188" t="s">
        <v>908</v>
      </c>
      <c r="B178" s="683"/>
    </row>
    <row r="179" spans="1:2" x14ac:dyDescent="0.25">
      <c r="A179" s="188" t="s">
        <v>909</v>
      </c>
      <c r="B179" s="683"/>
    </row>
    <row r="180" spans="1:2" x14ac:dyDescent="0.25">
      <c r="A180" s="188" t="s">
        <v>910</v>
      </c>
      <c r="B180" s="683"/>
    </row>
    <row r="181" spans="1:2" x14ac:dyDescent="0.25">
      <c r="A181" s="699"/>
      <c r="B181" s="683"/>
    </row>
    <row r="182" spans="1:2" x14ac:dyDescent="0.25">
      <c r="A182" s="188" t="s">
        <v>911</v>
      </c>
      <c r="B182" s="683"/>
    </row>
    <row r="183" spans="1:2" x14ac:dyDescent="0.25">
      <c r="A183" s="188" t="s">
        <v>912</v>
      </c>
      <c r="B183" s="683"/>
    </row>
    <row r="184" spans="1:2" x14ac:dyDescent="0.25">
      <c r="A184" s="188" t="s">
        <v>913</v>
      </c>
      <c r="B184" s="683"/>
    </row>
    <row r="185" spans="1:2" x14ac:dyDescent="0.25">
      <c r="A185" s="188" t="s">
        <v>914</v>
      </c>
      <c r="B185" s="683"/>
    </row>
    <row r="186" spans="1:2" x14ac:dyDescent="0.25">
      <c r="A186" s="699"/>
      <c r="B186" s="683"/>
    </row>
    <row r="187" spans="1:2" x14ac:dyDescent="0.25">
      <c r="A187" s="699" t="s">
        <v>915</v>
      </c>
    </row>
    <row r="189" spans="1:2" x14ac:dyDescent="0.25">
      <c r="A189" s="188" t="s">
        <v>916</v>
      </c>
    </row>
    <row r="190" spans="1:2" x14ac:dyDescent="0.25">
      <c r="A190" s="188" t="s">
        <v>917</v>
      </c>
    </row>
    <row r="191" spans="1:2" x14ac:dyDescent="0.25">
      <c r="A191" s="188" t="s">
        <v>918</v>
      </c>
    </row>
    <row r="193" spans="1:1" x14ac:dyDescent="0.25">
      <c r="A193" s="188" t="s">
        <v>919</v>
      </c>
    </row>
    <row r="194" spans="1:1" x14ac:dyDescent="0.25">
      <c r="A194" s="188" t="s">
        <v>920</v>
      </c>
    </row>
    <row r="196" spans="1:1" x14ac:dyDescent="0.25">
      <c r="A196" s="683" t="s">
        <v>921</v>
      </c>
    </row>
    <row r="197" spans="1:1" x14ac:dyDescent="0.25">
      <c r="A197" s="698" t="s">
        <v>922</v>
      </c>
    </row>
    <row r="198" spans="1:1" x14ac:dyDescent="0.25">
      <c r="A198" s="188" t="s">
        <v>923</v>
      </c>
    </row>
    <row r="199" spans="1:1" x14ac:dyDescent="0.25">
      <c r="A199" s="188" t="s">
        <v>924</v>
      </c>
    </row>
    <row r="200" spans="1:1" x14ac:dyDescent="0.25">
      <c r="A200" s="518" t="s">
        <v>925</v>
      </c>
    </row>
    <row r="202" spans="1:1" x14ac:dyDescent="0.25">
      <c r="A202" s="698" t="s">
        <v>926</v>
      </c>
    </row>
    <row r="203" spans="1:1" x14ac:dyDescent="0.25">
      <c r="A203" s="188" t="s">
        <v>927</v>
      </c>
    </row>
    <row r="204" spans="1:1" x14ac:dyDescent="0.25">
      <c r="A204" s="188" t="s">
        <v>928</v>
      </c>
    </row>
    <row r="205" spans="1:1" x14ac:dyDescent="0.25">
      <c r="A205" s="518" t="s">
        <v>929</v>
      </c>
    </row>
    <row r="206" spans="1:1" x14ac:dyDescent="0.25">
      <c r="A206" s="188" t="s">
        <v>930</v>
      </c>
    </row>
    <row r="207" spans="1:1" x14ac:dyDescent="0.25">
      <c r="A207" s="188" t="s">
        <v>931</v>
      </c>
    </row>
    <row r="208" spans="1:1" x14ac:dyDescent="0.25">
      <c r="A208" s="188" t="s">
        <v>932</v>
      </c>
    </row>
    <row r="209" spans="1:5" x14ac:dyDescent="0.25">
      <c r="A209" s="698" t="s">
        <v>933</v>
      </c>
    </row>
    <row r="210" spans="1:5" x14ac:dyDescent="0.25">
      <c r="A210" s="188" t="s">
        <v>934</v>
      </c>
    </row>
    <row r="211" spans="1:5" x14ac:dyDescent="0.25">
      <c r="A211" s="188" t="s">
        <v>935</v>
      </c>
    </row>
    <row r="212" spans="1:5" x14ac:dyDescent="0.25">
      <c r="A212" s="188" t="s">
        <v>936</v>
      </c>
    </row>
    <row r="213" spans="1:5" x14ac:dyDescent="0.25">
      <c r="A213" s="518" t="s">
        <v>937</v>
      </c>
    </row>
    <row r="215" spans="1:5" x14ac:dyDescent="0.25">
      <c r="A215" s="188" t="s">
        <v>938</v>
      </c>
    </row>
    <row r="216" spans="1:5" x14ac:dyDescent="0.25">
      <c r="A216" s="188" t="s">
        <v>939</v>
      </c>
    </row>
    <row r="218" spans="1:5" x14ac:dyDescent="0.25">
      <c r="A218" s="698" t="s">
        <v>940</v>
      </c>
    </row>
    <row r="219" spans="1:5" x14ac:dyDescent="0.25">
      <c r="A219" s="188" t="s">
        <v>941</v>
      </c>
    </row>
    <row r="220" spans="1:5" x14ac:dyDescent="0.25">
      <c r="A220" s="188" t="s">
        <v>942</v>
      </c>
    </row>
    <row r="221" spans="1:5" x14ac:dyDescent="0.25">
      <c r="A221" s="188" t="s">
        <v>943</v>
      </c>
    </row>
    <row r="222" spans="1:5" x14ac:dyDescent="0.25">
      <c r="A222" s="188" t="s">
        <v>944</v>
      </c>
    </row>
    <row r="223" spans="1:5" x14ac:dyDescent="0.25">
      <c r="A223" s="188" t="s">
        <v>945</v>
      </c>
    </row>
    <row r="224" spans="1:5" ht="33" customHeight="1" x14ac:dyDescent="0.25">
      <c r="A224" s="1086" t="s">
        <v>946</v>
      </c>
      <c r="B224" s="1086"/>
      <c r="C224" s="1086"/>
      <c r="D224" s="1086"/>
      <c r="E224" s="1086"/>
    </row>
    <row r="225" spans="1:8" x14ac:dyDescent="0.25">
      <c r="A225" s="1087" t="s">
        <v>947</v>
      </c>
      <c r="B225" s="1087"/>
      <c r="C225" s="1087"/>
      <c r="D225" s="1087"/>
      <c r="E225" s="1087"/>
    </row>
    <row r="226" spans="1:8" x14ac:dyDescent="0.25">
      <c r="A226" s="1078" t="s">
        <v>948</v>
      </c>
      <c r="B226" s="1078"/>
      <c r="C226" s="1078"/>
      <c r="D226" s="1078"/>
      <c r="E226" s="1078"/>
    </row>
    <row r="227" spans="1:8" x14ac:dyDescent="0.25">
      <c r="A227" s="1078" t="s">
        <v>949</v>
      </c>
      <c r="B227" s="1078"/>
      <c r="C227" s="1078"/>
      <c r="D227" s="1078"/>
      <c r="E227" s="1078"/>
    </row>
    <row r="228" spans="1:8" x14ac:dyDescent="0.25">
      <c r="A228" s="1079" t="s">
        <v>950</v>
      </c>
      <c r="B228" s="1080"/>
      <c r="C228" s="1080"/>
      <c r="D228" s="1080"/>
      <c r="E228" s="1080"/>
      <c r="F228" s="1080"/>
      <c r="G228" s="1080"/>
      <c r="H228" s="1080"/>
    </row>
    <row r="229" spans="1:8" x14ac:dyDescent="0.25">
      <c r="A229" s="1081"/>
      <c r="B229" s="1082"/>
      <c r="C229" s="1082"/>
      <c r="D229" s="1082"/>
      <c r="E229" s="1082"/>
      <c r="F229" s="1082"/>
      <c r="G229" s="1082"/>
      <c r="H229" s="1082"/>
    </row>
    <row r="230" spans="1:8" x14ac:dyDescent="0.25">
      <c r="A230" s="1083"/>
      <c r="B230" s="1084"/>
      <c r="C230" s="1084"/>
      <c r="D230" s="1084"/>
      <c r="E230" s="1084"/>
      <c r="F230" s="1084"/>
      <c r="G230" s="1084"/>
      <c r="H230" s="1084"/>
    </row>
    <row r="232" spans="1:8" x14ac:dyDescent="0.25">
      <c r="A232" s="1079" t="s">
        <v>951</v>
      </c>
      <c r="B232" s="1080"/>
      <c r="C232" s="1080"/>
      <c r="D232" s="1080"/>
      <c r="E232" s="1080"/>
      <c r="F232" s="1080"/>
      <c r="G232" s="1080"/>
      <c r="H232" s="1080"/>
    </row>
    <row r="233" spans="1:8" x14ac:dyDescent="0.25">
      <c r="A233" s="1081"/>
      <c r="B233" s="1082"/>
      <c r="C233" s="1082"/>
      <c r="D233" s="1082"/>
      <c r="E233" s="1082"/>
      <c r="F233" s="1082"/>
      <c r="G233" s="1082"/>
      <c r="H233" s="1082"/>
    </row>
    <row r="234" spans="1:8" x14ac:dyDescent="0.25">
      <c r="A234" s="1083"/>
      <c r="B234" s="1084"/>
      <c r="C234" s="1084"/>
      <c r="D234" s="1084"/>
      <c r="E234" s="1084"/>
      <c r="F234" s="1084"/>
      <c r="G234" s="1084"/>
      <c r="H234" s="1084"/>
    </row>
  </sheetData>
  <mergeCells count="76">
    <mergeCell ref="F97:F106"/>
    <mergeCell ref="F19:H19"/>
    <mergeCell ref="A1:B1"/>
    <mergeCell ref="F1:H1"/>
    <mergeCell ref="I1:L1"/>
    <mergeCell ref="A2:B2"/>
    <mergeCell ref="A3:B3"/>
    <mergeCell ref="K3:L3"/>
    <mergeCell ref="B4:C4"/>
    <mergeCell ref="F6:H6"/>
    <mergeCell ref="I7:M7"/>
    <mergeCell ref="A12:B12"/>
    <mergeCell ref="A17:B17"/>
    <mergeCell ref="A25:B25"/>
    <mergeCell ref="A26:B26"/>
    <mergeCell ref="A27:B27"/>
    <mergeCell ref="A28:B28"/>
    <mergeCell ref="C19:E19"/>
    <mergeCell ref="A20:B20"/>
    <mergeCell ref="A21:B21"/>
    <mergeCell ref="A22:B22"/>
    <mergeCell ref="A23:B23"/>
    <mergeCell ref="A24:B24"/>
    <mergeCell ref="A39:B39"/>
    <mergeCell ref="A40:B40"/>
    <mergeCell ref="A29:B29"/>
    <mergeCell ref="A30:B30"/>
    <mergeCell ref="A31:B31"/>
    <mergeCell ref="A32:B32"/>
    <mergeCell ref="A33:B33"/>
    <mergeCell ref="A34:B34"/>
    <mergeCell ref="A35:B35"/>
    <mergeCell ref="A36:B36"/>
    <mergeCell ref="A37:B37"/>
    <mergeCell ref="A38:B38"/>
    <mergeCell ref="B111:H113"/>
    <mergeCell ref="B114:H115"/>
    <mergeCell ref="A56:B56"/>
    <mergeCell ref="C56:D56"/>
    <mergeCell ref="A45:B45"/>
    <mergeCell ref="A46:B46"/>
    <mergeCell ref="A47:B47"/>
    <mergeCell ref="C48:D48"/>
    <mergeCell ref="F48:G48"/>
    <mergeCell ref="F49:G49"/>
    <mergeCell ref="F52:G52"/>
    <mergeCell ref="E54:H54"/>
    <mergeCell ref="C55:D55"/>
    <mergeCell ref="E55:H56"/>
    <mergeCell ref="A60:B60"/>
    <mergeCell ref="C60:D60"/>
    <mergeCell ref="A64:B64"/>
    <mergeCell ref="F66:G86"/>
    <mergeCell ref="D91:E96"/>
    <mergeCell ref="A57:B57"/>
    <mergeCell ref="C57:D57"/>
    <mergeCell ref="F57:G57"/>
    <mergeCell ref="A58:B58"/>
    <mergeCell ref="C58:D58"/>
    <mergeCell ref="E58:H59"/>
    <mergeCell ref="A59:B59"/>
    <mergeCell ref="C59:D59"/>
    <mergeCell ref="A228:H230"/>
    <mergeCell ref="A232:H234"/>
    <mergeCell ref="D128:E128"/>
    <mergeCell ref="A129:A130"/>
    <mergeCell ref="D129:E129"/>
    <mergeCell ref="A224:E224"/>
    <mergeCell ref="A225:E225"/>
    <mergeCell ref="A226:E226"/>
    <mergeCell ref="D120:E120"/>
    <mergeCell ref="A121:A124"/>
    <mergeCell ref="D121:E121"/>
    <mergeCell ref="D122:E122"/>
    <mergeCell ref="A227:E227"/>
    <mergeCell ref="D123:E123"/>
  </mergeCells>
  <hyperlinks>
    <hyperlink ref="A176" r:id="rId1" location=":~:text=D%C3%A9claration%20de%20la%20part%20principale%20de%20taxe%20d'apprentissage&amp;text=Vous%20devez%20d%C3%A9clarer%20mensuellement%20la,taux%20de%200%2C59%25)." display="https://www.urssaf.fr/accueil/employeur/cotisations/liste-cotisations/taxe-apprentissage-csa.html#:~:text=D%C3%A9claration%20de%20la%20part%20principale%20de%20taxe%20d'apprentissage&amp;text=Vous%20devez%20d%C3%A9clarer%20mensuellement%20la,taux%20de%200%2C59%25)." xr:uid="{11074231-4A58-4F1E-88EE-1F5340527D31}"/>
  </hyperlinks>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2"/>
  <drawing r:id="rId3"/>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21C8E-3A16-45AE-B7B6-CA5B51FD667B}">
  <dimension ref="A2:K28"/>
  <sheetViews>
    <sheetView topLeftCell="A17" workbookViewId="0">
      <selection activeCell="A29" sqref="A29"/>
    </sheetView>
  </sheetViews>
  <sheetFormatPr baseColWidth="10" defaultRowHeight="15" x14ac:dyDescent="0.25"/>
  <cols>
    <col min="1" max="1" width="15" customWidth="1"/>
    <col min="2" max="2" width="17.85546875" customWidth="1"/>
  </cols>
  <sheetData>
    <row r="2" spans="1:11" ht="18.75" x14ac:dyDescent="0.3">
      <c r="B2" s="1153" t="s">
        <v>1076</v>
      </c>
      <c r="C2" s="1153"/>
      <c r="D2" s="1153"/>
      <c r="E2" s="1153"/>
      <c r="F2" s="1153"/>
      <c r="G2" s="1153"/>
      <c r="H2" s="1153"/>
      <c r="I2" s="1153"/>
    </row>
    <row r="6" spans="1:11" x14ac:dyDescent="0.25">
      <c r="A6" t="s">
        <v>1072</v>
      </c>
    </row>
    <row r="8" spans="1:11" x14ac:dyDescent="0.25">
      <c r="A8" t="s">
        <v>1075</v>
      </c>
    </row>
    <row r="10" spans="1:11" x14ac:dyDescent="0.25">
      <c r="K10" t="s">
        <v>1073</v>
      </c>
    </row>
    <row r="16" spans="1:11" x14ac:dyDescent="0.25">
      <c r="A16" t="s">
        <v>1074</v>
      </c>
    </row>
    <row r="18" spans="1:1" x14ac:dyDescent="0.25">
      <c r="A18" t="s">
        <v>1077</v>
      </c>
    </row>
    <row r="25" spans="1:1" x14ac:dyDescent="0.25">
      <c r="A25" t="s">
        <v>1074</v>
      </c>
    </row>
    <row r="28" spans="1:1" x14ac:dyDescent="0.25">
      <c r="A28" t="s">
        <v>1078</v>
      </c>
    </row>
  </sheetData>
  <mergeCells count="1">
    <mergeCell ref="B2:I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D8B21-CE84-4860-A2CD-B23877AB7D20}">
  <dimension ref="A1:N57"/>
  <sheetViews>
    <sheetView topLeftCell="A50" zoomScale="120" workbookViewId="0">
      <selection activeCell="D1" sqref="D1:J1"/>
    </sheetView>
  </sheetViews>
  <sheetFormatPr baseColWidth="10" defaultRowHeight="15" x14ac:dyDescent="0.25"/>
  <cols>
    <col min="5" max="5" width="13.5703125" customWidth="1"/>
    <col min="6" max="6" width="14.28515625" customWidth="1"/>
    <col min="7" max="7" width="15.28515625" customWidth="1"/>
    <col min="8" max="8" width="15.7109375" customWidth="1"/>
    <col min="9" max="9" width="12.85546875" customWidth="1"/>
    <col min="10" max="10" width="14.140625" customWidth="1"/>
    <col min="11" max="11" width="13.42578125" customWidth="1"/>
    <col min="12" max="12" width="14.42578125" customWidth="1"/>
    <col min="13" max="13" width="13.140625" customWidth="1"/>
    <col min="14" max="14" width="0.7109375" hidden="1" customWidth="1"/>
  </cols>
  <sheetData>
    <row r="1" spans="2:14" s="188" customFormat="1" ht="15.75" x14ac:dyDescent="0.25">
      <c r="D1" s="985" t="s">
        <v>1098</v>
      </c>
      <c r="E1" s="985"/>
      <c r="F1" s="985"/>
      <c r="G1" s="985"/>
      <c r="H1" s="985"/>
      <c r="I1" s="985"/>
      <c r="J1" s="985"/>
    </row>
    <row r="2" spans="2:14" s="188" customFormat="1" ht="15.75" x14ac:dyDescent="0.25">
      <c r="B2" s="707"/>
      <c r="C2" s="218"/>
      <c r="D2" s="218"/>
      <c r="E2" s="218"/>
      <c r="F2" s="218"/>
      <c r="G2" s="218"/>
      <c r="H2" s="218"/>
      <c r="I2" s="218"/>
      <c r="J2" s="218"/>
      <c r="K2" s="218"/>
    </row>
    <row r="3" spans="2:14" s="188" customFormat="1" ht="15.75" x14ac:dyDescent="0.25">
      <c r="B3" s="707"/>
      <c r="C3" s="218"/>
      <c r="D3" s="218"/>
      <c r="E3" s="988" t="s">
        <v>986</v>
      </c>
      <c r="F3" s="988"/>
      <c r="G3" s="988"/>
      <c r="H3" s="988"/>
      <c r="I3" s="218"/>
      <c r="J3" s="985"/>
      <c r="K3" s="985"/>
      <c r="L3" s="985"/>
      <c r="M3" s="985"/>
    </row>
    <row r="4" spans="2:14" s="188" customFormat="1" ht="41.45" customHeight="1" x14ac:dyDescent="0.25">
      <c r="B4" s="707"/>
      <c r="C4" s="218"/>
      <c r="D4" s="218"/>
      <c r="E4" s="1164" t="s">
        <v>1068</v>
      </c>
      <c r="F4" s="1165"/>
      <c r="G4" s="1165"/>
      <c r="H4" s="1165"/>
      <c r="I4" s="218"/>
      <c r="J4" s="1162"/>
      <c r="K4" s="1162"/>
      <c r="L4" s="1162"/>
      <c r="M4" s="1162"/>
    </row>
    <row r="5" spans="2:14" s="218" customFormat="1" ht="32.450000000000003" customHeight="1" x14ac:dyDescent="0.25">
      <c r="C5" s="985"/>
      <c r="D5" s="985"/>
      <c r="E5" s="1166" t="s">
        <v>775</v>
      </c>
      <c r="F5" s="1166"/>
      <c r="G5" s="1167" t="s">
        <v>776</v>
      </c>
      <c r="H5" s="1168"/>
      <c r="J5" s="1162"/>
      <c r="K5" s="1162"/>
      <c r="L5" s="1162"/>
      <c r="M5" s="1162"/>
    </row>
    <row r="6" spans="2:14" s="218" customFormat="1" ht="31.15" customHeight="1" x14ac:dyDescent="0.25">
      <c r="E6" s="593" t="s">
        <v>777</v>
      </c>
      <c r="F6" s="593" t="s">
        <v>778</v>
      </c>
      <c r="G6" s="593" t="s">
        <v>777</v>
      </c>
      <c r="H6" s="593" t="s">
        <v>778</v>
      </c>
    </row>
    <row r="7" spans="2:14" ht="31.15" customHeight="1" x14ac:dyDescent="0.25">
      <c r="D7" s="6"/>
      <c r="E7" s="713">
        <f>D44+D45+D46+D47+D48+D49+D50+D51</f>
        <v>0.33800000000000002</v>
      </c>
      <c r="F7" s="712">
        <f>+E7/E9</f>
        <v>0.84903290630494854</v>
      </c>
      <c r="G7" s="713">
        <f>F44+F45+F46+F47+F48+F49+F50+F51</f>
        <v>0.34200000000000003</v>
      </c>
      <c r="H7" s="712">
        <f>+G7/G9</f>
        <v>0.85053469286247207</v>
      </c>
      <c r="I7" s="6"/>
      <c r="J7" s="819"/>
      <c r="K7" s="820"/>
      <c r="L7" s="819"/>
      <c r="M7" s="820"/>
    </row>
    <row r="8" spans="2:14" ht="31.15" customHeight="1" x14ac:dyDescent="0.25">
      <c r="D8" s="6"/>
      <c r="E8" s="713">
        <f>'BP FORMAT JUILLET 2023'!E53</f>
        <v>6.0100000000000001E-2</v>
      </c>
      <c r="F8" s="712">
        <f>E8/E9</f>
        <v>0.15096709369505149</v>
      </c>
      <c r="G8" s="713">
        <f>+E8</f>
        <v>6.0100000000000001E-2</v>
      </c>
      <c r="H8" s="712">
        <f>+G8/G9</f>
        <v>0.14946530713752798</v>
      </c>
      <c r="I8" s="6"/>
      <c r="J8" s="819"/>
      <c r="K8" s="820"/>
      <c r="L8" s="819"/>
      <c r="M8" s="820"/>
    </row>
    <row r="9" spans="2:14" ht="31.15" customHeight="1" x14ac:dyDescent="0.25">
      <c r="D9" s="6"/>
      <c r="E9" s="714">
        <f>E7+E8</f>
        <v>0.39810000000000001</v>
      </c>
      <c r="F9" s="712">
        <f>+F7+F8</f>
        <v>1</v>
      </c>
      <c r="G9" s="714">
        <f>+G7+G8</f>
        <v>0.40210000000000001</v>
      </c>
      <c r="H9" s="712">
        <f>+H7+H8</f>
        <v>1</v>
      </c>
      <c r="I9" s="6"/>
      <c r="J9" s="821"/>
      <c r="K9" s="820"/>
      <c r="L9" s="821"/>
      <c r="M9" s="820"/>
    </row>
    <row r="10" spans="2:14" ht="31.15" customHeight="1" x14ac:dyDescent="0.25">
      <c r="D10" s="6"/>
      <c r="E10" s="6"/>
      <c r="F10" s="6"/>
      <c r="G10" s="6"/>
      <c r="H10" s="6"/>
      <c r="I10" s="6"/>
      <c r="J10" s="6"/>
    </row>
    <row r="11" spans="2:14" ht="30" customHeight="1" x14ac:dyDescent="0.25">
      <c r="C11" s="822">
        <f>'RGDU Format Juillet '!C45</f>
        <v>604.86</v>
      </c>
      <c r="E11" s="985" t="s">
        <v>1069</v>
      </c>
      <c r="F11" s="985"/>
      <c r="G11" s="985"/>
      <c r="H11" s="985"/>
      <c r="I11" s="985"/>
      <c r="J11" s="985"/>
    </row>
    <row r="12" spans="2:14" ht="15.75" x14ac:dyDescent="0.25">
      <c r="D12" s="591"/>
      <c r="E12" s="218"/>
      <c r="F12" s="218"/>
      <c r="G12" s="218"/>
      <c r="H12" s="218"/>
      <c r="I12" s="218"/>
      <c r="J12" s="218"/>
    </row>
    <row r="13" spans="2:14" ht="15.75" x14ac:dyDescent="0.25">
      <c r="B13" s="188" t="s">
        <v>975</v>
      </c>
    </row>
    <row r="15" spans="2:14" ht="28.9" customHeight="1" x14ac:dyDescent="0.25">
      <c r="B15" s="594" t="s">
        <v>779</v>
      </c>
      <c r="C15" s="715">
        <f>IF('BP FORMAT JUILLET 2023'!B9&lt;50,C11*F7,C11*H7)</f>
        <v>513.54604370761115</v>
      </c>
      <c r="D15" s="1154" t="s">
        <v>978</v>
      </c>
      <c r="E15" s="1155"/>
      <c r="F15" s="1155"/>
      <c r="G15" s="1155"/>
      <c r="H15" s="1155"/>
      <c r="I15" s="1155"/>
      <c r="J15" s="1155"/>
      <c r="K15" s="1155"/>
      <c r="L15" s="1155"/>
      <c r="M15" s="1155"/>
      <c r="N15" s="1155"/>
    </row>
    <row r="16" spans="2:14" ht="33.75" customHeight="1" x14ac:dyDescent="0.25">
      <c r="B16" s="594" t="s">
        <v>781</v>
      </c>
      <c r="C16" s="716">
        <f>IF('BP FORMAT JUILLET 2023'!B9&lt;50,C11*F8,C11*H8)</f>
        <v>91.313956292388838</v>
      </c>
      <c r="D16" s="1156" t="s">
        <v>979</v>
      </c>
      <c r="E16" s="1157"/>
      <c r="F16" s="1157"/>
      <c r="G16" s="1157"/>
      <c r="H16" s="1157"/>
      <c r="I16" s="1157"/>
      <c r="J16" s="1157"/>
      <c r="K16" s="1157"/>
      <c r="L16" s="1157"/>
      <c r="M16" s="1157"/>
      <c r="N16" s="1157"/>
    </row>
    <row r="17" spans="1:14" ht="33.75" customHeight="1" x14ac:dyDescent="0.25">
      <c r="B17" s="1163" t="s">
        <v>1096</v>
      </c>
      <c r="C17" s="1163"/>
      <c r="D17" s="1163"/>
      <c r="E17" s="1163"/>
      <c r="F17" s="1163"/>
      <c r="G17" s="1163"/>
      <c r="H17" s="1163"/>
      <c r="I17" s="1163"/>
      <c r="J17" s="1163"/>
      <c r="K17" s="1163"/>
      <c r="L17" s="825"/>
      <c r="M17" s="825"/>
      <c r="N17" s="825"/>
    </row>
    <row r="18" spans="1:14" ht="33.75" customHeight="1" x14ac:dyDescent="0.25">
      <c r="A18" t="s">
        <v>1070</v>
      </c>
      <c r="B18" s="823"/>
      <c r="C18" s="824"/>
      <c r="D18" s="825"/>
      <c r="E18" s="825"/>
      <c r="F18" s="825"/>
      <c r="G18" s="825"/>
      <c r="H18" s="825"/>
      <c r="I18" s="825"/>
      <c r="J18" s="825"/>
      <c r="K18" s="825"/>
      <c r="L18" s="825"/>
      <c r="M18" s="825"/>
      <c r="N18" s="825"/>
    </row>
    <row r="38" spans="1:11" x14ac:dyDescent="0.25">
      <c r="A38" s="59" t="s">
        <v>1071</v>
      </c>
      <c r="B38" s="59"/>
      <c r="C38" s="59"/>
      <c r="D38" s="59"/>
      <c r="E38" s="59"/>
    </row>
    <row r="40" spans="1:11" ht="27" customHeight="1" x14ac:dyDescent="0.25">
      <c r="D40" s="1160" t="s">
        <v>1061</v>
      </c>
      <c r="E40" s="1160"/>
      <c r="F40" s="1160"/>
      <c r="H40" s="859"/>
      <c r="I40" s="859"/>
      <c r="J40" s="859"/>
      <c r="K40" s="109"/>
    </row>
    <row r="41" spans="1:11" s="188" customFormat="1" ht="25.15" customHeight="1" x14ac:dyDescent="0.25">
      <c r="D41" s="1158" t="s">
        <v>970</v>
      </c>
      <c r="E41" s="1158"/>
      <c r="F41" s="1158"/>
      <c r="H41" s="1161"/>
      <c r="I41" s="1161"/>
      <c r="J41" s="1161"/>
    </row>
    <row r="42" spans="1:11" s="188" customFormat="1" ht="25.15" customHeight="1" x14ac:dyDescent="0.25">
      <c r="D42" s="1159" t="s">
        <v>1062</v>
      </c>
      <c r="E42" s="1159"/>
      <c r="F42" s="1159"/>
      <c r="H42" s="1162"/>
      <c r="I42" s="1162"/>
      <c r="J42" s="1162"/>
    </row>
    <row r="43" spans="1:11" s="188" customFormat="1" ht="60.6" customHeight="1" x14ac:dyDescent="0.25">
      <c r="D43" s="708" t="s">
        <v>971</v>
      </c>
      <c r="F43" s="708" t="s">
        <v>972</v>
      </c>
      <c r="H43" s="813"/>
      <c r="J43" s="813"/>
    </row>
    <row r="44" spans="1:11" s="188" customFormat="1" ht="25.15" customHeight="1" x14ac:dyDescent="0.25">
      <c r="B44" s="942" t="s">
        <v>1035</v>
      </c>
      <c r="C44" s="942"/>
      <c r="D44" s="292">
        <f>'BP FORMAT JUILLET 2023'!E37</f>
        <v>0.13</v>
      </c>
      <c r="F44" s="292">
        <f t="shared" ref="F44:F49" si="0">D44</f>
        <v>0.13</v>
      </c>
      <c r="H44" s="814"/>
      <c r="J44" s="814"/>
    </row>
    <row r="45" spans="1:11" s="188" customFormat="1" ht="25.15" customHeight="1" x14ac:dyDescent="0.25">
      <c r="B45" s="942" t="s">
        <v>40</v>
      </c>
      <c r="C45" s="942"/>
      <c r="D45" s="292">
        <f>'BP FORMAT JUILLET 2023'!E51</f>
        <v>8.5500000000000007E-2</v>
      </c>
      <c r="F45" s="292">
        <f t="shared" si="0"/>
        <v>8.5500000000000007E-2</v>
      </c>
      <c r="H45" s="814"/>
      <c r="J45" s="814"/>
    </row>
    <row r="46" spans="1:11" s="188" customFormat="1" ht="25.15" customHeight="1" x14ac:dyDescent="0.25">
      <c r="B46" s="942" t="s">
        <v>41</v>
      </c>
      <c r="C46" s="942"/>
      <c r="D46" s="292">
        <f>'BP FORMAT JUILLET 2023'!E52</f>
        <v>2.1100000000000001E-2</v>
      </c>
      <c r="F46" s="292">
        <f t="shared" si="0"/>
        <v>2.1100000000000001E-2</v>
      </c>
      <c r="H46" s="814"/>
      <c r="J46" s="814"/>
    </row>
    <row r="47" spans="1:11" s="188" customFormat="1" ht="25.15" customHeight="1" x14ac:dyDescent="0.25">
      <c r="B47" s="942" t="s">
        <v>260</v>
      </c>
      <c r="C47" s="942"/>
      <c r="D47" s="292">
        <f>'BP FORMAT JUILLET 2023'!E58</f>
        <v>5.2499999999999998E-2</v>
      </c>
      <c r="F47" s="292">
        <f t="shared" si="0"/>
        <v>5.2499999999999998E-2</v>
      </c>
      <c r="H47" s="814"/>
      <c r="J47" s="814"/>
    </row>
    <row r="48" spans="1:11" s="188" customFormat="1" ht="25.15" customHeight="1" x14ac:dyDescent="0.25">
      <c r="B48" s="942" t="s">
        <v>249</v>
      </c>
      <c r="C48" s="942"/>
      <c r="D48" s="292">
        <v>0.04</v>
      </c>
      <c r="F48" s="292">
        <f t="shared" si="0"/>
        <v>0.04</v>
      </c>
      <c r="H48" s="814"/>
      <c r="J48" s="814"/>
    </row>
    <row r="49" spans="1:10" s="188" customFormat="1" ht="25.15" customHeight="1" x14ac:dyDescent="0.25">
      <c r="A49" s="188" t="s">
        <v>1060</v>
      </c>
      <c r="B49" s="942" t="s">
        <v>973</v>
      </c>
      <c r="C49" s="942"/>
      <c r="D49" s="582">
        <v>4.8999999999999998E-3</v>
      </c>
      <c r="F49" s="582">
        <f t="shared" si="0"/>
        <v>4.8999999999999998E-3</v>
      </c>
      <c r="H49" s="814"/>
      <c r="J49" s="814"/>
    </row>
    <row r="50" spans="1:10" s="188" customFormat="1" ht="25.15" customHeight="1" x14ac:dyDescent="0.25">
      <c r="B50" s="1065" t="s">
        <v>984</v>
      </c>
      <c r="C50" s="1030"/>
      <c r="D50" s="582">
        <f>'BP FORMAT JUILLET 2023'!D127</f>
        <v>3.0000000000000001E-3</v>
      </c>
      <c r="F50" s="582">
        <f>D50</f>
        <v>3.0000000000000001E-3</v>
      </c>
      <c r="H50" s="814"/>
      <c r="J50" s="814"/>
    </row>
    <row r="51" spans="1:10" s="188" customFormat="1" ht="25.15" customHeight="1" x14ac:dyDescent="0.25">
      <c r="B51" s="942" t="str">
        <f>+'BP FORMAT JUILLET 2023'!A124</f>
        <v xml:space="preserve">FNAL Base plafonnée </v>
      </c>
      <c r="C51" s="942"/>
      <c r="D51" s="292">
        <f>'BP FORMAT JUILLET 2023'!D124</f>
        <v>1E-3</v>
      </c>
      <c r="F51" s="292">
        <v>5.0000000000000001E-3</v>
      </c>
      <c r="G51" s="188" t="s">
        <v>1063</v>
      </c>
      <c r="H51" s="814"/>
      <c r="J51" s="814"/>
    </row>
    <row r="52" spans="1:10" s="188" customFormat="1" ht="25.15" customHeight="1" x14ac:dyDescent="0.25">
      <c r="B52" s="1065" t="s">
        <v>1064</v>
      </c>
      <c r="C52" s="1030"/>
      <c r="D52" s="292">
        <f>'BP FORMAT JUILLET 2023'!E53</f>
        <v>6.0100000000000001E-2</v>
      </c>
      <c r="F52" s="292">
        <f>+D52</f>
        <v>6.0100000000000001E-2</v>
      </c>
      <c r="H52" s="814"/>
      <c r="J52" s="814"/>
    </row>
    <row r="53" spans="1:10" s="188" customFormat="1" ht="25.15" customHeight="1" x14ac:dyDescent="0.25">
      <c r="B53" s="942" t="s">
        <v>718</v>
      </c>
      <c r="C53" s="942"/>
      <c r="D53" s="751">
        <f>SUM(D44:D52)</f>
        <v>0.39810000000000001</v>
      </c>
      <c r="F53" s="751">
        <f>SUM(F44:F52)</f>
        <v>0.40210000000000001</v>
      </c>
      <c r="H53" s="815"/>
      <c r="J53" s="815"/>
    </row>
    <row r="55" spans="1:10" x14ac:dyDescent="0.25">
      <c r="B55" t="s">
        <v>1065</v>
      </c>
      <c r="D55" s="817">
        <v>0.02</v>
      </c>
      <c r="F55" s="817">
        <v>0.02</v>
      </c>
    </row>
    <row r="56" spans="1:10" x14ac:dyDescent="0.25">
      <c r="B56" t="s">
        <v>1066</v>
      </c>
      <c r="D56" s="818">
        <v>0.37809999999999999</v>
      </c>
      <c r="F56" s="818">
        <v>0.3821</v>
      </c>
      <c r="G56" t="s">
        <v>1067</v>
      </c>
    </row>
    <row r="57" spans="1:10" x14ac:dyDescent="0.25">
      <c r="D57" s="6">
        <f>SUM(D55:D56)</f>
        <v>0.39810000000000001</v>
      </c>
      <c r="F57" s="6">
        <f>F55+F56</f>
        <v>0.40210000000000001</v>
      </c>
    </row>
  </sheetData>
  <mergeCells count="30">
    <mergeCell ref="B52:C52"/>
    <mergeCell ref="B48:C48"/>
    <mergeCell ref="B49:C49"/>
    <mergeCell ref="D1:J1"/>
    <mergeCell ref="E4:H4"/>
    <mergeCell ref="C5:D5"/>
    <mergeCell ref="E5:F5"/>
    <mergeCell ref="G5:H5"/>
    <mergeCell ref="J4:M4"/>
    <mergeCell ref="J5:K5"/>
    <mergeCell ref="L5:M5"/>
    <mergeCell ref="E3:H3"/>
    <mergeCell ref="J3:M3"/>
    <mergeCell ref="B51:C51"/>
    <mergeCell ref="B53:C53"/>
    <mergeCell ref="E11:J11"/>
    <mergeCell ref="D15:N15"/>
    <mergeCell ref="D16:N16"/>
    <mergeCell ref="D41:F41"/>
    <mergeCell ref="D42:F42"/>
    <mergeCell ref="B44:C44"/>
    <mergeCell ref="B45:C45"/>
    <mergeCell ref="B46:C46"/>
    <mergeCell ref="B47:C47"/>
    <mergeCell ref="D40:F40"/>
    <mergeCell ref="H41:J41"/>
    <mergeCell ref="H42:J42"/>
    <mergeCell ref="H40:J40"/>
    <mergeCell ref="B50:C50"/>
    <mergeCell ref="B17:K17"/>
  </mergeCells>
  <printOptions horizontalCentered="1" verticalCentered="1"/>
  <pageMargins left="0.11811023622047245" right="0.11811023622047245" top="0.15748031496062992" bottom="0.15748031496062992" header="0.31496062992125984" footer="0.31496062992125984"/>
  <pageSetup paperSize="9" scale="80" orientation="landscape" cellComments="asDisplayed" horizontalDpi="4294967293" verticalDpi="0" r:id="rId1"/>
  <drawing r:id="rId2"/>
  <legacyDrawing r:id="rId3"/>
  <oleObjects>
    <mc:AlternateContent xmlns:mc="http://schemas.openxmlformats.org/markup-compatibility/2006">
      <mc:Choice Requires="x14">
        <oleObject progId="Word.Document.12" shapeId="137218" r:id="rId4">
          <objectPr defaultSize="0" r:id="rId5">
            <anchor moveWithCells="1">
              <from>
                <xdr:col>1</xdr:col>
                <xdr:colOff>542925</xdr:colOff>
                <xdr:row>19</xdr:row>
                <xdr:rowOff>19050</xdr:rowOff>
              </from>
              <to>
                <xdr:col>9</xdr:col>
                <xdr:colOff>171450</xdr:colOff>
                <xdr:row>36</xdr:row>
                <xdr:rowOff>76200</xdr:rowOff>
              </to>
            </anchor>
          </objectPr>
        </oleObject>
      </mc:Choice>
      <mc:Fallback>
        <oleObject progId="Word.Document.12" shapeId="137218"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24258-97E2-40D2-A561-2745837D7F06}">
  <dimension ref="A2:G14"/>
  <sheetViews>
    <sheetView workbookViewId="0">
      <selection activeCell="C3" sqref="C3"/>
    </sheetView>
  </sheetViews>
  <sheetFormatPr baseColWidth="10" defaultRowHeight="15" x14ac:dyDescent="0.25"/>
  <sheetData>
    <row r="2" spans="1:7" x14ac:dyDescent="0.25">
      <c r="C2" t="s">
        <v>1095</v>
      </c>
    </row>
    <row r="4" spans="1:7" x14ac:dyDescent="0.25">
      <c r="A4" s="1169" t="s">
        <v>1085</v>
      </c>
      <c r="B4" s="1170">
        <f>'DISPATCH RGDU 2026 '!C15</f>
        <v>513.54604370761115</v>
      </c>
    </row>
    <row r="5" spans="1:7" x14ac:dyDescent="0.25">
      <c r="A5" s="1169"/>
      <c r="B5" s="1170"/>
      <c r="C5" s="58" t="s">
        <v>1089</v>
      </c>
      <c r="D5" s="58" t="s">
        <v>105</v>
      </c>
      <c r="E5" s="58" t="s">
        <v>63</v>
      </c>
      <c r="F5" s="58" t="s">
        <v>1094</v>
      </c>
    </row>
    <row r="6" spans="1:7" x14ac:dyDescent="0.25">
      <c r="A6" s="1169"/>
      <c r="B6" s="1170"/>
      <c r="C6" s="4">
        <v>535</v>
      </c>
      <c r="D6" s="834">
        <v>0.06</v>
      </c>
      <c r="E6" s="500">
        <f>'BP FORMAT JUILLET 2023'!J33</f>
        <v>2273.0700000000002</v>
      </c>
      <c r="F6" s="4">
        <f>-ROUND(E6*D6,2)</f>
        <v>-136.38</v>
      </c>
      <c r="G6" t="s">
        <v>1091</v>
      </c>
    </row>
    <row r="7" spans="1:7" x14ac:dyDescent="0.25">
      <c r="A7" s="1169"/>
      <c r="B7" s="1170"/>
      <c r="C7" s="4">
        <v>430</v>
      </c>
      <c r="D7" s="835">
        <v>1.7999999999999999E-2</v>
      </c>
      <c r="E7" s="4">
        <v>2273.0700000000002</v>
      </c>
      <c r="F7" s="4">
        <f>-ROUND(E7*D7,2)</f>
        <v>-40.92</v>
      </c>
      <c r="G7" t="s">
        <v>1090</v>
      </c>
    </row>
    <row r="8" spans="1:7" x14ac:dyDescent="0.25">
      <c r="A8" s="1169"/>
      <c r="B8" s="1170"/>
      <c r="C8" s="4">
        <v>668</v>
      </c>
      <c r="D8" s="4"/>
      <c r="E8" s="4"/>
      <c r="F8" s="836">
        <f>-B4-F6-F7</f>
        <v>-336.24604370761114</v>
      </c>
      <c r="G8" t="s">
        <v>1087</v>
      </c>
    </row>
    <row r="9" spans="1:7" x14ac:dyDescent="0.25">
      <c r="A9" s="1169"/>
      <c r="B9" s="1170"/>
    </row>
    <row r="11" spans="1:7" x14ac:dyDescent="0.25">
      <c r="A11" s="1169" t="s">
        <v>1086</v>
      </c>
      <c r="B11" s="1171">
        <f>'DISPATCH RGDU 2026 '!C16</f>
        <v>91.313956292388838</v>
      </c>
    </row>
    <row r="12" spans="1:7" x14ac:dyDescent="0.25">
      <c r="A12" s="1169"/>
      <c r="B12" s="1171"/>
    </row>
    <row r="13" spans="1:7" x14ac:dyDescent="0.25">
      <c r="A13" s="1169"/>
      <c r="B13" s="1171"/>
    </row>
    <row r="14" spans="1:7" x14ac:dyDescent="0.25">
      <c r="A14" s="1169"/>
      <c r="B14" s="1171"/>
    </row>
  </sheetData>
  <mergeCells count="4">
    <mergeCell ref="A4:A9"/>
    <mergeCell ref="A11:A14"/>
    <mergeCell ref="B4:B9"/>
    <mergeCell ref="B11:B1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BB999-A215-4A94-844F-BFEFB8CD1D06}">
  <dimension ref="A1:R90"/>
  <sheetViews>
    <sheetView topLeftCell="E1" workbookViewId="0">
      <selection activeCell="E5" sqref="E5:E14"/>
    </sheetView>
  </sheetViews>
  <sheetFormatPr baseColWidth="10" defaultRowHeight="15" x14ac:dyDescent="0.25"/>
  <cols>
    <col min="1" max="1" width="29" hidden="1" customWidth="1"/>
    <col min="2" max="2" width="19" hidden="1" customWidth="1"/>
    <col min="3" max="3" width="19" style="290" hidden="1" customWidth="1"/>
    <col min="4" max="4" width="19" style="31" hidden="1" customWidth="1"/>
    <col min="6" max="6" width="49.140625" customWidth="1"/>
    <col min="7" max="7" width="10.28515625" customWidth="1"/>
    <col min="8" max="8" width="11.85546875" bestFit="1" customWidth="1"/>
    <col min="9" max="9" width="10.85546875" bestFit="1" customWidth="1"/>
    <col min="10" max="10" width="16" customWidth="1"/>
    <col min="11" max="11" width="13.140625" style="53" customWidth="1"/>
    <col min="12" max="12" width="14.5703125" customWidth="1"/>
    <col min="14" max="14" width="19" customWidth="1"/>
    <col min="16" max="16" width="15" customWidth="1"/>
  </cols>
  <sheetData>
    <row r="1" spans="1:18" ht="30.75" customHeight="1" x14ac:dyDescent="0.25">
      <c r="A1" s="1174" t="s">
        <v>74</v>
      </c>
      <c r="B1" s="1175"/>
      <c r="C1" s="29" t="s">
        <v>75</v>
      </c>
      <c r="D1" s="269" t="s">
        <v>76</v>
      </c>
      <c r="E1" s="1176" t="s">
        <v>722</v>
      </c>
      <c r="F1" s="1176"/>
      <c r="G1" s="1176"/>
      <c r="H1" s="1176"/>
      <c r="I1" s="1176"/>
      <c r="J1" s="1176"/>
      <c r="K1" s="1176"/>
    </row>
    <row r="2" spans="1:18" ht="18.75" x14ac:dyDescent="0.25">
      <c r="A2" s="1177" t="s">
        <v>273</v>
      </c>
      <c r="B2" s="1178"/>
      <c r="C2" s="29"/>
      <c r="D2" s="269"/>
    </row>
    <row r="3" spans="1:18" x14ac:dyDescent="0.25">
      <c r="A3" s="1179" t="s">
        <v>282</v>
      </c>
      <c r="B3" s="1180"/>
      <c r="C3" s="205"/>
      <c r="D3" s="205">
        <v>7.0000000000000007E-2</v>
      </c>
      <c r="E3" s="1181" t="s">
        <v>1097</v>
      </c>
      <c r="F3" s="1182" t="s">
        <v>723</v>
      </c>
      <c r="G3" s="1184" t="s">
        <v>724</v>
      </c>
      <c r="H3" s="1184"/>
      <c r="I3" s="1184" t="s">
        <v>725</v>
      </c>
      <c r="J3" s="1184"/>
      <c r="K3" s="864" t="s">
        <v>97</v>
      </c>
      <c r="L3" s="864" t="s">
        <v>726</v>
      </c>
    </row>
    <row r="4" spans="1:18" ht="15" customHeight="1" x14ac:dyDescent="0.25">
      <c r="A4" s="1185" t="s">
        <v>208</v>
      </c>
      <c r="B4" s="1186"/>
      <c r="C4" s="205"/>
      <c r="D4" s="205">
        <v>0.06</v>
      </c>
      <c r="E4" s="1181"/>
      <c r="F4" s="1183"/>
      <c r="G4" s="196" t="s">
        <v>89</v>
      </c>
      <c r="H4" s="196" t="s">
        <v>90</v>
      </c>
      <c r="I4" s="196" t="s">
        <v>89</v>
      </c>
      <c r="J4" s="196" t="s">
        <v>90</v>
      </c>
      <c r="K4" s="864"/>
      <c r="L4" s="864"/>
    </row>
    <row r="5" spans="1:18" ht="18.75" customHeight="1" x14ac:dyDescent="0.25">
      <c r="A5" s="1185" t="s">
        <v>203</v>
      </c>
      <c r="B5" s="1186"/>
      <c r="C5" s="379"/>
      <c r="D5" s="379"/>
      <c r="E5" s="1187">
        <v>100</v>
      </c>
      <c r="F5" s="39" t="s">
        <v>727</v>
      </c>
      <c r="G5" s="557"/>
      <c r="H5" s="557"/>
      <c r="I5" s="557"/>
      <c r="J5" s="559">
        <f>'BP FORMAT JUILLET 2023'!E49</f>
        <v>1.2999999999999999E-2</v>
      </c>
      <c r="K5" s="558">
        <f>I5+J5</f>
        <v>1.2999999999999999E-2</v>
      </c>
      <c r="L5" s="500">
        <f>'BP FORMAT JUILLET 2023'!G49</f>
        <v>29.55</v>
      </c>
      <c r="M5" s="2"/>
      <c r="O5" t="s">
        <v>728</v>
      </c>
    </row>
    <row r="6" spans="1:18" ht="15.75" x14ac:dyDescent="0.25">
      <c r="A6" s="1185" t="s">
        <v>259</v>
      </c>
      <c r="B6" s="1186"/>
      <c r="C6" s="205"/>
      <c r="D6" s="205"/>
      <c r="E6" s="1188"/>
      <c r="F6" s="560" t="s">
        <v>1035</v>
      </c>
      <c r="G6" s="4"/>
      <c r="H6" s="4"/>
      <c r="I6" s="4"/>
      <c r="J6" s="772">
        <f>'BP FORMAT JUILLET 2023'!E37</f>
        <v>0.13</v>
      </c>
      <c r="K6" s="558">
        <f t="shared" ref="K6:K8" si="0">I6+J6</f>
        <v>0.13</v>
      </c>
      <c r="L6" s="500">
        <f>'BP FORMAT JUILLET 2023'!G37</f>
        <v>295.5</v>
      </c>
      <c r="M6" s="2"/>
    </row>
    <row r="7" spans="1:18" ht="15.75" x14ac:dyDescent="0.25">
      <c r="A7" s="1191"/>
      <c r="B7" s="1192"/>
      <c r="C7" s="1192"/>
      <c r="D7" s="1193"/>
      <c r="E7" s="1188"/>
      <c r="F7" s="560"/>
      <c r="G7" s="557"/>
      <c r="H7" s="561"/>
      <c r="I7" s="557"/>
      <c r="J7" s="773"/>
      <c r="K7" s="558"/>
      <c r="L7" s="500">
        <f>'[5]BP Format Juillet 2023'!G38</f>
        <v>0</v>
      </c>
    </row>
    <row r="8" spans="1:18" ht="15.75" x14ac:dyDescent="0.25">
      <c r="A8" s="1194" t="s">
        <v>38</v>
      </c>
      <c r="B8" s="1195"/>
      <c r="C8" s="271"/>
      <c r="D8" s="272"/>
      <c r="E8" s="1188"/>
      <c r="F8" s="39" t="s">
        <v>729</v>
      </c>
      <c r="G8" s="557"/>
      <c r="H8" s="557"/>
      <c r="I8" s="562">
        <f>'BP FORMAT JUILLET 2023'!D52</f>
        <v>4.0000000000000001E-3</v>
      </c>
      <c r="J8" s="774">
        <f>'BP FORMAT JUILLET 2023'!E52</f>
        <v>2.1100000000000001E-2</v>
      </c>
      <c r="K8" s="826">
        <f t="shared" si="0"/>
        <v>2.5100000000000001E-2</v>
      </c>
      <c r="L8" s="500">
        <f>'BP FORMAT JUILLET 2023'!F52+'BP FORMAT JUILLET 2023'!G52</f>
        <v>57.05</v>
      </c>
      <c r="M8" s="2"/>
    </row>
    <row r="9" spans="1:18" ht="15.75" x14ac:dyDescent="0.25">
      <c r="A9" s="1196" t="s">
        <v>274</v>
      </c>
      <c r="B9" s="1197"/>
      <c r="C9" s="32"/>
      <c r="D9" s="32"/>
      <c r="E9" s="1188"/>
      <c r="F9" s="563" t="s">
        <v>730</v>
      </c>
      <c r="G9" s="557"/>
      <c r="H9" s="557"/>
      <c r="I9" s="557"/>
      <c r="J9" s="775">
        <f>'BP FORMAT JUILLET 2023'!E58</f>
        <v>5.2499999999999998E-2</v>
      </c>
      <c r="K9" s="776">
        <f>J9</f>
        <v>5.2499999999999998E-2</v>
      </c>
      <c r="L9" s="500">
        <f>+'BP FORMAT JUILLET 2023'!G58</f>
        <v>119.34</v>
      </c>
      <c r="M9" s="2"/>
    </row>
    <row r="10" spans="1:18" ht="15.75" x14ac:dyDescent="0.25">
      <c r="A10" s="943" t="s">
        <v>260</v>
      </c>
      <c r="B10" s="944"/>
      <c r="C10" s="33"/>
      <c r="D10" s="204">
        <v>3.4500000000000003E-2</v>
      </c>
      <c r="E10" s="1188"/>
      <c r="K10" s="777">
        <f>SUM(K5:K9)</f>
        <v>0.22060000000000002</v>
      </c>
      <c r="L10" s="500">
        <f>SUM(L5:L9)</f>
        <v>501.44000000000005</v>
      </c>
      <c r="M10" s="2"/>
    </row>
    <row r="11" spans="1:18" ht="15.75" x14ac:dyDescent="0.25">
      <c r="A11" s="996" t="s">
        <v>261</v>
      </c>
      <c r="B11" s="947"/>
      <c r="C11" s="33"/>
      <c r="D11" s="208">
        <v>1.7999999999999999E-2</v>
      </c>
      <c r="E11" s="1188"/>
      <c r="L11" s="2"/>
      <c r="Q11" t="s">
        <v>1082</v>
      </c>
    </row>
    <row r="12" spans="1:18" x14ac:dyDescent="0.25">
      <c r="A12" s="1200" t="s">
        <v>275</v>
      </c>
      <c r="B12" s="1201"/>
      <c r="C12" s="273"/>
      <c r="D12" s="207"/>
      <c r="E12" s="1189"/>
      <c r="G12" s="21"/>
      <c r="H12" s="21"/>
      <c r="I12" s="564"/>
      <c r="K12" s="53" t="s">
        <v>731</v>
      </c>
      <c r="L12" t="s">
        <v>732</v>
      </c>
      <c r="N12" t="s">
        <v>1093</v>
      </c>
    </row>
    <row r="13" spans="1:18" ht="19.5" customHeight="1" x14ac:dyDescent="0.25">
      <c r="A13" s="1202" t="s">
        <v>212</v>
      </c>
      <c r="B13" s="1203"/>
      <c r="C13" s="209"/>
      <c r="D13" s="209">
        <v>4.0500000000000001E-2</v>
      </c>
      <c r="E13" s="1189"/>
      <c r="F13" s="1204" t="s">
        <v>733</v>
      </c>
      <c r="G13" s="1204"/>
      <c r="H13" s="1204"/>
      <c r="I13" s="1204"/>
      <c r="J13" s="1204"/>
      <c r="K13" s="565">
        <f>SUM(K5:K9)</f>
        <v>0.22060000000000002</v>
      </c>
      <c r="L13" s="566">
        <f>'BP FORMAT JUILLET 2023'!J33</f>
        <v>2273.0700000000002</v>
      </c>
      <c r="N13" s="567">
        <f>ROUND(L13*K13,2)</f>
        <v>501.44</v>
      </c>
      <c r="Q13" s="568">
        <f t="shared" ref="Q13:Q25" si="1">ROUND(K13*L13,2)</f>
        <v>501.44</v>
      </c>
    </row>
    <row r="14" spans="1:18" ht="19.5" customHeight="1" x14ac:dyDescent="0.25">
      <c r="A14" s="1202" t="s">
        <v>228</v>
      </c>
      <c r="B14" s="1203"/>
      <c r="C14" s="209"/>
      <c r="D14" s="569">
        <v>2E-3</v>
      </c>
      <c r="E14" s="1190"/>
      <c r="Q14" s="568">
        <f t="shared" si="1"/>
        <v>0</v>
      </c>
    </row>
    <row r="15" spans="1:18" ht="35.25" customHeight="1" x14ac:dyDescent="0.25">
      <c r="A15" s="1205" t="s">
        <v>288</v>
      </c>
      <c r="B15" s="1206"/>
      <c r="C15" s="274">
        <v>2.4000000000000001E-4</v>
      </c>
      <c r="D15" s="275">
        <v>3.6000000000000002E-4</v>
      </c>
      <c r="E15" s="570" t="s">
        <v>734</v>
      </c>
      <c r="F15" s="563" t="s">
        <v>735</v>
      </c>
      <c r="G15" s="292">
        <f>C17</f>
        <v>6.9000000000000006E-2</v>
      </c>
      <c r="H15" s="292">
        <f>D17</f>
        <v>8.5500000000000007E-2</v>
      </c>
      <c r="I15" s="4"/>
      <c r="J15" s="573"/>
      <c r="K15" s="571">
        <f>SUM(G15:H15)</f>
        <v>0.15450000000000003</v>
      </c>
      <c r="L15" s="572">
        <f>'BP FORMAT JUILLET 2023'!J33</f>
        <v>2273.0700000000002</v>
      </c>
      <c r="M15" s="46"/>
      <c r="N15" s="532">
        <f>ROUND(L15*K15,2)</f>
        <v>351.19</v>
      </c>
      <c r="P15" s="108"/>
      <c r="Q15" s="568">
        <f t="shared" si="1"/>
        <v>351.19</v>
      </c>
      <c r="R15" s="2"/>
    </row>
    <row r="16" spans="1:18" ht="22.5" customHeight="1" x14ac:dyDescent="0.25">
      <c r="A16" s="1207" t="s">
        <v>39</v>
      </c>
      <c r="B16" s="1208"/>
      <c r="C16" s="1208"/>
      <c r="D16" s="1208"/>
      <c r="E16" s="570">
        <v>12</v>
      </c>
      <c r="F16" s="39" t="s">
        <v>736</v>
      </c>
      <c r="G16" s="560"/>
      <c r="H16" s="39"/>
      <c r="I16" s="593"/>
      <c r="K16" s="573">
        <v>0.2</v>
      </c>
      <c r="L16" s="574">
        <f>'BP FORMAT JUILLET 2023'!C129</f>
        <v>0</v>
      </c>
      <c r="M16" s="46"/>
      <c r="N16" s="532">
        <f t="shared" ref="N16:N22" si="2">ROUND(L16*K16,2)</f>
        <v>0</v>
      </c>
      <c r="Q16" s="568"/>
    </row>
    <row r="17" spans="1:18" ht="33" customHeight="1" x14ac:dyDescent="0.25">
      <c r="A17" s="1198" t="s">
        <v>40</v>
      </c>
      <c r="B17" s="1199"/>
      <c r="C17" s="204">
        <v>6.9000000000000006E-2</v>
      </c>
      <c r="D17" s="204">
        <v>8.5500000000000007E-2</v>
      </c>
      <c r="E17" s="570" t="s">
        <v>737</v>
      </c>
      <c r="F17" s="39" t="s">
        <v>738</v>
      </c>
      <c r="G17" s="560"/>
      <c r="H17" s="560"/>
      <c r="I17" s="560"/>
      <c r="J17" s="4"/>
      <c r="K17" s="575">
        <f>D38</f>
        <v>1.6000000000000001E-4</v>
      </c>
      <c r="L17" s="572">
        <f>'BP FORMAT JUILLET 2023'!J33</f>
        <v>2273.0700000000002</v>
      </c>
      <c r="M17" s="46"/>
      <c r="N17" s="532">
        <f t="shared" si="2"/>
        <v>0.36</v>
      </c>
      <c r="Q17" s="568">
        <f>+'BP FORMAT JUILLET 2023'!E130</f>
        <v>0.36</v>
      </c>
    </row>
    <row r="18" spans="1:18" ht="24.75" customHeight="1" x14ac:dyDescent="0.25">
      <c r="A18" s="1198" t="s">
        <v>41</v>
      </c>
      <c r="B18" s="1199"/>
      <c r="C18" s="204">
        <v>4.0000000000000001E-3</v>
      </c>
      <c r="D18" s="509">
        <v>2.0199999999999999E-2</v>
      </c>
      <c r="E18" s="570">
        <v>236</v>
      </c>
      <c r="F18" s="39" t="s">
        <v>739</v>
      </c>
      <c r="G18" s="560"/>
      <c r="H18" s="188"/>
      <c r="I18" s="560"/>
      <c r="J18" s="4"/>
      <c r="K18" s="292">
        <v>5.0000000000000001E-3</v>
      </c>
      <c r="L18" s="576">
        <f>+'BP FORMAT JUILLET 2023'!C125</f>
        <v>0</v>
      </c>
      <c r="M18" s="46"/>
      <c r="N18" s="532">
        <f t="shared" si="2"/>
        <v>0</v>
      </c>
      <c r="Q18" s="568"/>
    </row>
    <row r="19" spans="1:18" ht="24.75" customHeight="1" x14ac:dyDescent="0.25">
      <c r="A19" s="1198" t="s">
        <v>42</v>
      </c>
      <c r="B19" s="1199"/>
      <c r="C19" s="204">
        <v>3.15E-2</v>
      </c>
      <c r="D19" s="204">
        <v>4.7199999999999999E-2</v>
      </c>
      <c r="E19" s="570">
        <v>260</v>
      </c>
      <c r="F19" s="39" t="s">
        <v>740</v>
      </c>
      <c r="G19" s="39"/>
      <c r="H19" s="577"/>
      <c r="I19" s="562">
        <f>'BP FORMAT JUILLET 2023'!D66+'BP FORMAT JUILLET 2023'!D67</f>
        <v>9.7000000000000003E-2</v>
      </c>
      <c r="J19" s="39"/>
      <c r="K19" s="578">
        <f>I19</f>
        <v>9.7000000000000003E-2</v>
      </c>
      <c r="L19" s="572">
        <f>'BP FORMAT JUILLET 2023'!C66</f>
        <v>2154.17</v>
      </c>
      <c r="M19" s="46"/>
      <c r="N19" s="532">
        <f t="shared" si="2"/>
        <v>208.95</v>
      </c>
      <c r="Q19" s="568">
        <f>'BP FORMAT JUILLET 2023'!F66+'BP FORMAT JUILLET 2023'!F67</f>
        <v>208.95</v>
      </c>
    </row>
    <row r="20" spans="1:18" ht="24.75" customHeight="1" x14ac:dyDescent="0.25">
      <c r="A20" s="533"/>
      <c r="B20" s="534"/>
      <c r="C20" s="204"/>
      <c r="D20" s="204"/>
      <c r="E20" s="570"/>
      <c r="F20" s="39" t="s">
        <v>1083</v>
      </c>
      <c r="G20" s="39"/>
      <c r="H20" s="577"/>
      <c r="I20" s="562">
        <v>9.7000000000000003E-2</v>
      </c>
      <c r="J20" s="39"/>
      <c r="K20" s="578">
        <f>I20</f>
        <v>9.7000000000000003E-2</v>
      </c>
      <c r="L20" s="572">
        <f>+'BP FORMAT JUILLET 2023'!C70</f>
        <v>170.04127500000001</v>
      </c>
      <c r="M20" s="46"/>
      <c r="N20" s="532">
        <f t="shared" si="2"/>
        <v>16.489999999999998</v>
      </c>
      <c r="Q20" s="568">
        <f>'BP FORMAT JUILLET 2023'!F70+'BP FORMAT JUILLET 2023'!F68</f>
        <v>16.490000000000002</v>
      </c>
      <c r="R20" s="2"/>
    </row>
    <row r="21" spans="1:18" ht="31.9" customHeight="1" x14ac:dyDescent="0.25">
      <c r="A21" s="1198" t="s">
        <v>43</v>
      </c>
      <c r="B21" s="1199"/>
      <c r="C21" s="204">
        <v>8.6400000000000005E-2</v>
      </c>
      <c r="D21" s="204">
        <v>0.1295</v>
      </c>
      <c r="E21" s="570">
        <v>332</v>
      </c>
      <c r="F21" s="39" t="s">
        <v>741</v>
      </c>
      <c r="G21" s="560"/>
      <c r="H21" s="579"/>
      <c r="I21" s="39"/>
      <c r="J21" s="39"/>
      <c r="K21" s="580">
        <f>D28</f>
        <v>1E-3</v>
      </c>
      <c r="L21" s="572">
        <f>'BP FORMAT JUILLET 2023'!C124</f>
        <v>2273.0700000000002</v>
      </c>
      <c r="M21" s="46"/>
      <c r="N21" s="532">
        <f t="shared" si="2"/>
        <v>2.27</v>
      </c>
      <c r="Q21" s="568">
        <f>'BP FORMAT JUILLET 2023'!E124</f>
        <v>2.27</v>
      </c>
    </row>
    <row r="22" spans="1:18" ht="25.5" customHeight="1" x14ac:dyDescent="0.25">
      <c r="A22" s="1198" t="s">
        <v>80</v>
      </c>
      <c r="B22" s="1199"/>
      <c r="C22" s="204">
        <v>8.6E-3</v>
      </c>
      <c r="D22" s="204">
        <v>1.29E-2</v>
      </c>
      <c r="E22" s="581" t="s">
        <v>742</v>
      </c>
      <c r="F22" s="39" t="s">
        <v>78</v>
      </c>
      <c r="G22" s="560"/>
      <c r="H22" s="39"/>
      <c r="I22" s="39"/>
      <c r="J22" s="4"/>
      <c r="K22" s="582">
        <v>3.0000000000000001E-3</v>
      </c>
      <c r="L22" s="572">
        <f>'BP FORMAT JUILLET 2023'!C127</f>
        <v>2273.0700000000002</v>
      </c>
      <c r="M22" s="46"/>
      <c r="N22" s="532">
        <f t="shared" si="2"/>
        <v>6.82</v>
      </c>
      <c r="Q22" s="568">
        <f>'BP FORMAT JUILLET 2023'!E127</f>
        <v>6.82</v>
      </c>
    </row>
    <row r="23" spans="1:18" ht="21.75" customHeight="1" x14ac:dyDescent="0.25">
      <c r="A23" s="1198" t="s">
        <v>81</v>
      </c>
      <c r="B23" s="1199"/>
      <c r="C23" s="204">
        <v>1.0800000000000001E-2</v>
      </c>
      <c r="D23" s="204">
        <v>1.6199999999999999E-2</v>
      </c>
      <c r="E23" s="570">
        <v>430</v>
      </c>
      <c r="F23" s="39" t="s">
        <v>1090</v>
      </c>
      <c r="G23" s="560"/>
      <c r="H23" s="560"/>
      <c r="I23" s="560"/>
      <c r="J23" s="4"/>
      <c r="K23" s="292">
        <v>1.7999999999999999E-2</v>
      </c>
      <c r="L23" s="778">
        <f>L22</f>
        <v>2273.0700000000002</v>
      </c>
      <c r="M23" s="46"/>
      <c r="N23" s="832">
        <f>-ROUND(L23*K23,2)</f>
        <v>-40.92</v>
      </c>
      <c r="Q23" s="568"/>
    </row>
    <row r="24" spans="1:18" ht="25.5" customHeight="1" x14ac:dyDescent="0.25">
      <c r="A24" s="1198" t="s">
        <v>82</v>
      </c>
      <c r="B24" s="1199"/>
      <c r="C24" s="204">
        <v>1.4E-3</v>
      </c>
      <c r="D24" s="204">
        <v>2.0999999999999999E-3</v>
      </c>
      <c r="E24" s="570">
        <v>437</v>
      </c>
      <c r="F24" s="39" t="s">
        <v>743</v>
      </c>
      <c r="G24" s="560"/>
      <c r="H24" s="560"/>
      <c r="I24" s="560"/>
      <c r="J24" s="560"/>
      <c r="K24" s="39"/>
      <c r="L24" s="46"/>
      <c r="M24" s="46"/>
      <c r="N24" s="532">
        <f>ROUND(L24*K24,2)</f>
        <v>0</v>
      </c>
      <c r="Q24" s="568"/>
    </row>
    <row r="25" spans="1:18" ht="24" customHeight="1" x14ac:dyDescent="0.25">
      <c r="A25" s="1198" t="s">
        <v>83</v>
      </c>
      <c r="B25" s="1199"/>
      <c r="C25" s="204">
        <v>1.4E-3</v>
      </c>
      <c r="D25" s="204">
        <v>2.0999999999999999E-3</v>
      </c>
      <c r="E25" s="570">
        <v>479</v>
      </c>
      <c r="F25" s="39" t="s">
        <v>744</v>
      </c>
      <c r="G25" s="560"/>
      <c r="H25" s="39"/>
      <c r="I25" s="39"/>
      <c r="J25" s="4"/>
      <c r="K25" s="584">
        <v>0.08</v>
      </c>
      <c r="L25" s="572">
        <f>'BP FORMAT JUILLET 2023'!C128</f>
        <v>90.92</v>
      </c>
      <c r="M25" s="46"/>
      <c r="N25" s="532">
        <f t="shared" ref="N25:N26" si="3">ROUND(L25*K25,2)</f>
        <v>7.27</v>
      </c>
      <c r="Q25" s="568">
        <f t="shared" si="1"/>
        <v>7.27</v>
      </c>
      <c r="R25" s="591"/>
    </row>
    <row r="26" spans="1:18" ht="24" customHeight="1" x14ac:dyDescent="0.25">
      <c r="A26" s="533"/>
      <c r="B26" s="534"/>
      <c r="C26" s="831"/>
      <c r="D26" s="831"/>
      <c r="E26" s="585"/>
      <c r="F26" s="586"/>
      <c r="G26" s="560"/>
      <c r="H26" s="39"/>
      <c r="I26" s="39"/>
      <c r="J26" s="4"/>
      <c r="K26" s="584"/>
      <c r="L26" s="572"/>
      <c r="M26" s="46"/>
      <c r="N26" s="532">
        <f t="shared" si="3"/>
        <v>0</v>
      </c>
      <c r="Q26" s="568"/>
      <c r="R26" s="591"/>
    </row>
    <row r="27" spans="1:18" ht="21" customHeight="1" x14ac:dyDescent="0.25">
      <c r="A27" s="224"/>
      <c r="B27" s="225"/>
      <c r="C27" s="273"/>
      <c r="D27" s="207"/>
      <c r="E27" s="570">
        <v>635</v>
      </c>
      <c r="F27" s="39" t="s">
        <v>1088</v>
      </c>
      <c r="G27" s="4"/>
      <c r="H27" s="4"/>
      <c r="I27" s="4"/>
      <c r="J27" s="4"/>
      <c r="K27" s="573">
        <f>'DISPATCH ET DSN '!D6</f>
        <v>0.06</v>
      </c>
      <c r="L27" s="778">
        <f>'DISPATCH ET DSN '!E6</f>
        <v>2273.0700000000002</v>
      </c>
      <c r="M27" s="46"/>
      <c r="N27" s="832">
        <f>-ROUND(K27*L27,2)</f>
        <v>-136.38</v>
      </c>
      <c r="O27" t="s">
        <v>1092</v>
      </c>
      <c r="Q27" s="568"/>
    </row>
    <row r="28" spans="1:18" ht="21.75" customHeight="1" x14ac:dyDescent="0.25">
      <c r="A28" s="1198" t="s">
        <v>213</v>
      </c>
      <c r="B28" s="1199"/>
      <c r="C28" s="33"/>
      <c r="D28" s="204">
        <v>1E-3</v>
      </c>
      <c r="E28" s="570">
        <v>668</v>
      </c>
      <c r="F28" s="39" t="s">
        <v>1087</v>
      </c>
      <c r="G28" s="560"/>
      <c r="H28" s="560"/>
      <c r="I28" s="560"/>
      <c r="J28" s="560"/>
      <c r="K28" s="583"/>
      <c r="L28" s="532"/>
      <c r="M28" s="46"/>
      <c r="N28" s="833">
        <f>'DISPATCH ET DSN '!F8</f>
        <v>-336.24604370761114</v>
      </c>
      <c r="O28" s="1172"/>
      <c r="P28" s="1173"/>
      <c r="Q28" s="781">
        <f>-'DISPATCH RGDU 2026 '!$C$15</f>
        <v>-513.54604370761115</v>
      </c>
      <c r="R28" s="591"/>
    </row>
    <row r="29" spans="1:18" ht="21.75" customHeight="1" x14ac:dyDescent="0.25">
      <c r="A29" s="1209" t="s">
        <v>214</v>
      </c>
      <c r="B29" s="1210"/>
      <c r="C29" s="33"/>
      <c r="D29" s="204">
        <v>5.0000000000000001E-3</v>
      </c>
      <c r="E29" s="570">
        <v>669</v>
      </c>
      <c r="F29" s="39" t="s">
        <v>745</v>
      </c>
      <c r="G29" s="560"/>
      <c r="H29" s="560"/>
      <c r="I29" s="560"/>
      <c r="J29" s="560"/>
      <c r="K29" s="39"/>
      <c r="L29" s="46"/>
      <c r="M29" s="46"/>
      <c r="N29" s="532">
        <f>ROUND(L29*K29,2)</f>
        <v>0</v>
      </c>
      <c r="Q29" s="568">
        <f>ROUND(K29*L29,2)</f>
        <v>0</v>
      </c>
    </row>
    <row r="30" spans="1:18" ht="21.75" customHeight="1" x14ac:dyDescent="0.25">
      <c r="A30" s="1209" t="s">
        <v>186</v>
      </c>
      <c r="B30" s="1210"/>
      <c r="C30" s="33"/>
      <c r="D30" s="587">
        <v>3.2000000000000001E-2</v>
      </c>
      <c r="E30" s="570">
        <v>772</v>
      </c>
      <c r="F30" s="39" t="s">
        <v>1079</v>
      </c>
      <c r="G30" s="560"/>
      <c r="H30" s="560"/>
      <c r="I30" s="39"/>
      <c r="K30" s="582">
        <f>'TABLE DES TAUX 2026 '!D13</f>
        <v>0.04</v>
      </c>
      <c r="L30" s="572">
        <f>'BP FORMAT JUILLET 2023'!C61</f>
        <v>2273.0700000000002</v>
      </c>
      <c r="M30" s="46"/>
      <c r="N30" s="532">
        <f t="shared" ref="N30:N37" si="4">ROUND(L30*K30,2)</f>
        <v>90.92</v>
      </c>
      <c r="Q30" s="568">
        <f t="shared" ref="Q30:Q37" si="5">ROUND(K30*L30,2)</f>
        <v>90.92</v>
      </c>
      <c r="R30" s="2"/>
    </row>
    <row r="31" spans="1:18" ht="19.5" customHeight="1" x14ac:dyDescent="0.25">
      <c r="A31" s="1198" t="s">
        <v>78</v>
      </c>
      <c r="B31" s="1199"/>
      <c r="C31" s="33"/>
      <c r="D31" s="204">
        <v>3.0000000000000001E-3</v>
      </c>
      <c r="E31" s="570">
        <v>900</v>
      </c>
      <c r="F31" s="39" t="s">
        <v>746</v>
      </c>
      <c r="G31" s="560"/>
      <c r="H31" s="560"/>
      <c r="I31" s="560"/>
      <c r="K31" s="582">
        <f>'BP FORMAT JUILLET 2023'!$D$126</f>
        <v>6.0000000000000001E-3</v>
      </c>
      <c r="L31" s="576">
        <f>+'BP FORMAT JUILLET 2023'!C126</f>
        <v>2273.0700000000002</v>
      </c>
      <c r="M31" s="46"/>
      <c r="N31" s="532">
        <f t="shared" si="4"/>
        <v>13.64</v>
      </c>
      <c r="Q31" s="568">
        <f>'BP FORMAT JUILLET 2023'!E126</f>
        <v>13.64</v>
      </c>
    </row>
    <row r="32" spans="1:18" ht="28.9" customHeight="1" x14ac:dyDescent="0.25">
      <c r="A32" s="1198" t="s">
        <v>47</v>
      </c>
      <c r="B32" s="1199"/>
      <c r="C32" s="33"/>
      <c r="D32" s="204">
        <v>0.08</v>
      </c>
      <c r="E32" s="570">
        <v>937</v>
      </c>
      <c r="F32" s="39" t="s">
        <v>230</v>
      </c>
      <c r="G32" s="560"/>
      <c r="H32" s="560"/>
      <c r="I32" s="560"/>
      <c r="K32" s="571">
        <f>+'TABLE DES TAUX 2026 '!D14</f>
        <v>2.5000000000000001E-3</v>
      </c>
      <c r="L32" s="572">
        <f>'BP FORMAT JUILLET 2023'!$C$61</f>
        <v>2273.0700000000002</v>
      </c>
      <c r="M32" s="46"/>
      <c r="N32" s="532">
        <f t="shared" si="4"/>
        <v>5.68</v>
      </c>
      <c r="Q32" s="568">
        <f t="shared" si="5"/>
        <v>5.68</v>
      </c>
    </row>
    <row r="33" spans="1:18" ht="30.6" customHeight="1" x14ac:dyDescent="0.25">
      <c r="A33" s="533"/>
      <c r="B33" s="534"/>
      <c r="C33" s="33"/>
      <c r="D33" s="204"/>
      <c r="E33" s="570">
        <v>959</v>
      </c>
      <c r="F33" s="38" t="s">
        <v>747</v>
      </c>
      <c r="G33" s="560"/>
      <c r="H33" s="560"/>
      <c r="I33" s="560"/>
      <c r="J33" s="562"/>
      <c r="K33" s="562">
        <f>'BP FORMAT JUILLET 2023'!D133</f>
        <v>5.4999999999999997E-3</v>
      </c>
      <c r="L33" s="778">
        <f>'BP FORMAT JUILLET 2023'!C133</f>
        <v>0</v>
      </c>
      <c r="M33" s="46"/>
      <c r="N33" s="532">
        <f t="shared" si="4"/>
        <v>0</v>
      </c>
      <c r="Q33" s="568">
        <f t="shared" si="5"/>
        <v>0</v>
      </c>
    </row>
    <row r="34" spans="1:18" ht="30.6" customHeight="1" x14ac:dyDescent="0.25">
      <c r="A34" s="220" t="s">
        <v>231</v>
      </c>
      <c r="B34" s="220"/>
      <c r="C34" s="33"/>
      <c r="D34" s="204">
        <v>0.2</v>
      </c>
      <c r="E34" s="570">
        <v>971</v>
      </c>
      <c r="F34" s="38" t="s">
        <v>748</v>
      </c>
      <c r="G34" s="4"/>
      <c r="H34" s="4"/>
      <c r="I34" s="4"/>
      <c r="J34" s="4"/>
      <c r="K34" s="571">
        <f>'BP FORMAT JUILLET 2023'!D132</f>
        <v>0.01</v>
      </c>
      <c r="L34" s="572">
        <f>'BP FORMAT JUILLET 2023'!C132</f>
        <v>2273.0700000000002</v>
      </c>
      <c r="M34" s="4"/>
      <c r="N34" s="532">
        <f t="shared" si="4"/>
        <v>22.73</v>
      </c>
      <c r="Q34" s="568">
        <f>'BP FORMAT JUILLET 2023'!E132</f>
        <v>22.73</v>
      </c>
    </row>
    <row r="35" spans="1:18" ht="30.6" customHeight="1" x14ac:dyDescent="0.25">
      <c r="A35" s="533"/>
      <c r="B35" s="534"/>
      <c r="C35" s="33"/>
      <c r="D35" s="204"/>
      <c r="E35" s="570">
        <v>992</v>
      </c>
      <c r="F35" s="38" t="s">
        <v>749</v>
      </c>
      <c r="G35" s="4"/>
      <c r="H35" s="4"/>
      <c r="I35" s="4"/>
      <c r="J35" s="4"/>
      <c r="K35" s="571">
        <v>5.8999999999999999E-3</v>
      </c>
      <c r="L35" s="572">
        <f>'BP FORMAT JUILLET 2023'!C131</f>
        <v>2273.0700000000002</v>
      </c>
      <c r="M35" s="4"/>
      <c r="N35" s="532">
        <f t="shared" si="4"/>
        <v>13.41</v>
      </c>
      <c r="Q35" s="568">
        <f t="shared" si="5"/>
        <v>13.41</v>
      </c>
      <c r="R35" s="591"/>
    </row>
    <row r="36" spans="1:18" ht="30.6" customHeight="1" x14ac:dyDescent="0.25">
      <c r="A36" s="533"/>
      <c r="B36" s="534"/>
      <c r="C36" s="33"/>
      <c r="D36" s="204"/>
      <c r="E36" s="570">
        <v>993</v>
      </c>
      <c r="F36" s="38" t="s">
        <v>749</v>
      </c>
      <c r="G36" s="4"/>
      <c r="H36" s="4"/>
      <c r="I36" s="4"/>
      <c r="J36" s="4"/>
      <c r="K36" s="562"/>
      <c r="L36" s="778"/>
      <c r="M36" s="4"/>
      <c r="N36" s="532">
        <f t="shared" si="4"/>
        <v>0</v>
      </c>
      <c r="Q36" s="568">
        <f t="shared" si="5"/>
        <v>0</v>
      </c>
    </row>
    <row r="37" spans="1:18" ht="30.6" customHeight="1" x14ac:dyDescent="0.25">
      <c r="A37" s="533"/>
      <c r="B37" s="534"/>
      <c r="C37" s="33"/>
      <c r="D37" s="204"/>
      <c r="E37" s="570">
        <v>995</v>
      </c>
      <c r="F37" s="38" t="s">
        <v>749</v>
      </c>
      <c r="G37" s="4"/>
      <c r="H37" s="4"/>
      <c r="I37" s="4"/>
      <c r="J37" s="4"/>
      <c r="K37" s="571">
        <v>8.9999999999999998E-4</v>
      </c>
      <c r="L37" s="572">
        <f>'BP FORMAT JUILLET 2023'!C131</f>
        <v>2273.0700000000002</v>
      </c>
      <c r="M37" s="4"/>
      <c r="N37" s="532">
        <f t="shared" si="4"/>
        <v>2.0499999999999998</v>
      </c>
      <c r="Q37" s="568">
        <f t="shared" si="5"/>
        <v>2.0499999999999998</v>
      </c>
    </row>
    <row r="38" spans="1:18" ht="22.5" customHeight="1" x14ac:dyDescent="0.25">
      <c r="A38" s="1198" t="s">
        <v>79</v>
      </c>
      <c r="B38" s="1199"/>
      <c r="C38" s="33"/>
      <c r="D38" s="209">
        <v>1.6000000000000001E-4</v>
      </c>
      <c r="E38" s="588" t="s">
        <v>750</v>
      </c>
      <c r="F38" s="39" t="s">
        <v>751</v>
      </c>
      <c r="G38" s="560"/>
      <c r="H38" s="560"/>
      <c r="I38" s="560"/>
      <c r="J38" s="560"/>
      <c r="K38" s="39"/>
      <c r="L38" s="46"/>
      <c r="M38" s="46"/>
      <c r="N38" s="572">
        <f>'BP FORMAT JUILLET 2023'!F72</f>
        <v>-19.57</v>
      </c>
      <c r="Q38" s="830">
        <f>'BP FORMAT JUILLET 2023'!F72</f>
        <v>-19.57</v>
      </c>
      <c r="R38" s="2"/>
    </row>
    <row r="39" spans="1:18" ht="18.75" x14ac:dyDescent="0.25">
      <c r="A39" s="1198" t="s">
        <v>84</v>
      </c>
      <c r="B39" s="1199"/>
      <c r="C39" s="30"/>
      <c r="D39" s="204">
        <v>6.7999999999999996E-3</v>
      </c>
      <c r="E39" s="589"/>
      <c r="F39" s="564"/>
      <c r="K39" s="590"/>
      <c r="N39" s="780">
        <f>SUM(N15:N38)+N13</f>
        <v>710.10395629238894</v>
      </c>
      <c r="P39" s="108">
        <f>+Q39-N39</f>
        <v>-3.9562923889207013E-3</v>
      </c>
      <c r="Q39" s="782">
        <f>ROUND(SUM(Q13:Q38),2)</f>
        <v>710.1</v>
      </c>
    </row>
    <row r="40" spans="1:18" ht="15.75" x14ac:dyDescent="0.25">
      <c r="A40" s="1212" t="s">
        <v>51</v>
      </c>
      <c r="B40" s="1213"/>
      <c r="C40" s="276">
        <v>6.8000000000000005E-2</v>
      </c>
      <c r="D40" s="212"/>
      <c r="E40" s="188"/>
      <c r="F40" s="188"/>
      <c r="G40" s="188"/>
      <c r="H40" s="188"/>
      <c r="I40" s="188"/>
      <c r="J40" s="188"/>
      <c r="K40" s="190"/>
      <c r="L40" s="188"/>
      <c r="M40" s="188"/>
      <c r="N40" s="188"/>
    </row>
    <row r="41" spans="1:18" ht="15.75" x14ac:dyDescent="0.25">
      <c r="A41" s="1212" t="s">
        <v>52</v>
      </c>
      <c r="B41" s="1213"/>
      <c r="C41" s="276">
        <v>6.8000000000000005E-2</v>
      </c>
      <c r="D41" s="212"/>
      <c r="E41" s="188"/>
      <c r="F41" s="779" t="s">
        <v>752</v>
      </c>
      <c r="G41" s="779"/>
      <c r="H41" s="779"/>
      <c r="I41" s="779"/>
      <c r="J41" s="188"/>
      <c r="K41" s="190"/>
      <c r="L41" s="188"/>
      <c r="M41" s="188"/>
      <c r="N41" s="188"/>
    </row>
    <row r="42" spans="1:18" ht="15.75" x14ac:dyDescent="0.25">
      <c r="A42" s="1212" t="s">
        <v>53</v>
      </c>
      <c r="B42" s="1213"/>
      <c r="C42" s="276">
        <v>2.9000000000000001E-2</v>
      </c>
      <c r="D42" s="212"/>
      <c r="E42" s="188"/>
      <c r="F42" s="779"/>
      <c r="G42" s="779"/>
      <c r="H42" s="779"/>
      <c r="I42" s="779"/>
      <c r="J42" s="188"/>
      <c r="K42" s="190"/>
      <c r="L42" s="188"/>
      <c r="M42" s="188"/>
      <c r="N42" s="188"/>
    </row>
    <row r="43" spans="1:18" ht="15.75" x14ac:dyDescent="0.25">
      <c r="A43" s="1214"/>
      <c r="B43" s="1215"/>
      <c r="C43" s="1215"/>
      <c r="D43" s="1216"/>
      <c r="E43" s="188"/>
      <c r="F43" s="779"/>
      <c r="G43" s="779" t="s">
        <v>753</v>
      </c>
      <c r="H43" s="779"/>
      <c r="I43" s="779"/>
      <c r="J43" s="749">
        <f>+'COMPTABILISATION 2026'!D80+'COMPTABILISATION 2026'!D85</f>
        <v>338.31395629238892</v>
      </c>
      <c r="K43" s="1217" t="s">
        <v>1080</v>
      </c>
      <c r="L43" s="1217"/>
      <c r="M43" s="1217"/>
      <c r="N43" s="1217"/>
    </row>
    <row r="44" spans="1:18" ht="18.75" x14ac:dyDescent="0.25">
      <c r="A44" s="1218" t="s">
        <v>276</v>
      </c>
      <c r="B44" s="1219"/>
      <c r="C44" s="277"/>
      <c r="D44" s="278"/>
      <c r="E44" s="188"/>
      <c r="F44" s="779"/>
      <c r="G44" s="779" t="s">
        <v>754</v>
      </c>
      <c r="H44" s="779"/>
      <c r="I44" s="779"/>
      <c r="J44" s="749">
        <f>+'COMPTABILISATION 2026'!D100</f>
        <v>371.8</v>
      </c>
      <c r="K44" s="1217" t="s">
        <v>1081</v>
      </c>
      <c r="L44" s="1217"/>
      <c r="M44" s="1217"/>
      <c r="N44" s="1217"/>
    </row>
    <row r="45" spans="1:18" ht="15.75" x14ac:dyDescent="0.25">
      <c r="A45" s="1206" t="s">
        <v>264</v>
      </c>
      <c r="B45" s="1211"/>
      <c r="C45" s="276"/>
      <c r="D45" s="276"/>
      <c r="E45" s="188"/>
      <c r="F45" s="779"/>
      <c r="G45" s="779"/>
      <c r="H45" s="779"/>
      <c r="I45" s="779"/>
      <c r="J45" s="749">
        <f>+J43+J44</f>
        <v>710.11395629238893</v>
      </c>
      <c r="K45" s="190"/>
      <c r="L45" s="188"/>
      <c r="M45" s="188"/>
      <c r="N45" s="188"/>
      <c r="O45" s="108"/>
    </row>
    <row r="46" spans="1:18" ht="15.75" x14ac:dyDescent="0.25">
      <c r="A46" s="1206" t="s">
        <v>263</v>
      </c>
      <c r="B46" s="1211"/>
      <c r="C46" s="276"/>
      <c r="D46" s="276"/>
      <c r="E46" s="188"/>
      <c r="F46" s="779" t="s">
        <v>755</v>
      </c>
      <c r="G46" s="779"/>
      <c r="H46" s="779"/>
      <c r="I46" s="779"/>
      <c r="J46" s="188"/>
      <c r="K46" s="190"/>
      <c r="L46" s="188"/>
      <c r="M46" s="188"/>
      <c r="N46" s="188"/>
    </row>
    <row r="47" spans="1:18" ht="15.75" x14ac:dyDescent="0.25">
      <c r="A47" s="925" t="s">
        <v>209</v>
      </c>
      <c r="B47" s="925"/>
      <c r="C47" s="276"/>
      <c r="D47" s="276">
        <v>1.4999999999999999E-2</v>
      </c>
      <c r="E47" s="188"/>
      <c r="F47" s="779"/>
      <c r="G47" s="779"/>
      <c r="H47" s="779"/>
      <c r="I47" s="779"/>
      <c r="J47" s="188"/>
      <c r="K47" s="190"/>
      <c r="L47" s="188"/>
      <c r="M47" s="188"/>
      <c r="N47" s="188"/>
    </row>
    <row r="48" spans="1:18" ht="15.75" x14ac:dyDescent="0.25">
      <c r="A48" s="1212" t="s">
        <v>210</v>
      </c>
      <c r="B48" s="1213"/>
      <c r="C48" s="277"/>
      <c r="D48" s="279"/>
      <c r="E48" s="188"/>
      <c r="F48" s="779" t="s">
        <v>756</v>
      </c>
      <c r="G48" s="779"/>
      <c r="H48" s="779"/>
      <c r="I48" s="779"/>
      <c r="J48" s="188"/>
      <c r="K48" s="190"/>
      <c r="L48" s="188"/>
      <c r="M48" s="188"/>
      <c r="N48" s="188"/>
    </row>
    <row r="49" spans="1:14" ht="15.75" x14ac:dyDescent="0.25">
      <c r="A49" s="1212" t="s">
        <v>211</v>
      </c>
      <c r="B49" s="1213"/>
      <c r="C49" s="277"/>
      <c r="D49" s="279"/>
      <c r="E49" s="188"/>
      <c r="F49" s="783"/>
      <c r="G49" s="784"/>
      <c r="H49" s="694"/>
      <c r="I49" s="694"/>
      <c r="J49" s="694"/>
      <c r="K49" s="789" t="s">
        <v>757</v>
      </c>
      <c r="L49" s="789" t="s">
        <v>758</v>
      </c>
      <c r="M49" s="188"/>
      <c r="N49" s="188"/>
    </row>
    <row r="50" spans="1:14" ht="15.75" x14ac:dyDescent="0.25">
      <c r="A50" s="1191"/>
      <c r="B50" s="1192"/>
      <c r="C50" s="1192"/>
      <c r="D50" s="1193"/>
      <c r="E50" s="188"/>
      <c r="F50" s="785" t="s">
        <v>759</v>
      </c>
      <c r="G50" s="188"/>
      <c r="H50" s="188"/>
      <c r="I50" s="188"/>
      <c r="J50" s="188"/>
      <c r="K50" s="789">
        <f>J45</f>
        <v>710.11395629238893</v>
      </c>
      <c r="L50" s="789"/>
      <c r="M50" s="188"/>
      <c r="N50" s="188"/>
    </row>
    <row r="51" spans="1:14" ht="15.75" x14ac:dyDescent="0.25">
      <c r="A51" s="1220" t="s">
        <v>760</v>
      </c>
      <c r="B51" s="1221"/>
      <c r="C51" s="510">
        <v>3864</v>
      </c>
      <c r="D51" s="280"/>
      <c r="E51" s="188"/>
      <c r="F51" s="786"/>
      <c r="G51" s="779" t="s">
        <v>761</v>
      </c>
      <c r="H51" s="188"/>
      <c r="I51" s="188"/>
      <c r="J51" s="188"/>
      <c r="K51" s="789"/>
      <c r="L51" s="789">
        <f>N39</f>
        <v>710.10395629238894</v>
      </c>
      <c r="M51" s="188"/>
      <c r="N51" s="188"/>
    </row>
    <row r="52" spans="1:14" ht="15.75" x14ac:dyDescent="0.25">
      <c r="A52" s="1220" t="s">
        <v>762</v>
      </c>
      <c r="B52" s="1221"/>
      <c r="C52" s="215">
        <v>11.27</v>
      </c>
      <c r="D52" s="213"/>
      <c r="E52" s="188"/>
      <c r="F52" s="787"/>
      <c r="G52" s="788" t="s">
        <v>763</v>
      </c>
      <c r="H52" s="788"/>
      <c r="I52" s="788"/>
      <c r="J52" s="680"/>
      <c r="K52" s="196"/>
      <c r="L52" s="790">
        <f>K50-N39</f>
        <v>9.9999999999909051E-3</v>
      </c>
      <c r="M52" s="188"/>
      <c r="N52" s="188"/>
    </row>
    <row r="53" spans="1:14" ht="15.75" x14ac:dyDescent="0.25">
      <c r="A53" s="1220" t="s">
        <v>764</v>
      </c>
      <c r="B53" s="1221"/>
      <c r="C53" s="215">
        <v>11.52</v>
      </c>
      <c r="D53" s="213"/>
      <c r="E53" s="188"/>
      <c r="F53" s="200"/>
      <c r="G53" s="200"/>
      <c r="H53" s="200"/>
      <c r="I53" s="188"/>
      <c r="J53" s="188"/>
      <c r="K53" s="190"/>
      <c r="L53" s="188"/>
      <c r="M53" s="188"/>
      <c r="N53" s="188"/>
    </row>
    <row r="54" spans="1:14" ht="15.75" x14ac:dyDescent="0.25">
      <c r="A54" s="505" t="s">
        <v>765</v>
      </c>
      <c r="B54" s="506"/>
      <c r="C54" s="510">
        <v>11.65</v>
      </c>
      <c r="D54" s="213"/>
      <c r="E54" s="188"/>
      <c r="F54" s="188"/>
      <c r="G54" s="188"/>
      <c r="H54" s="188"/>
      <c r="I54" s="188"/>
      <c r="J54" s="188"/>
      <c r="K54" s="190"/>
      <c r="L54" s="188"/>
      <c r="M54" s="188"/>
      <c r="N54" s="188"/>
    </row>
    <row r="55" spans="1:14" x14ac:dyDescent="0.25">
      <c r="A55" s="1198" t="s">
        <v>766</v>
      </c>
      <c r="B55" s="1199"/>
      <c r="C55" s="281">
        <f>C52*35*52/12</f>
        <v>1709.2833333333331</v>
      </c>
      <c r="D55" s="213"/>
    </row>
    <row r="56" spans="1:14" x14ac:dyDescent="0.25">
      <c r="A56" s="1198" t="s">
        <v>767</v>
      </c>
      <c r="B56" s="1199"/>
      <c r="C56" s="281">
        <f>C53*35*52/12</f>
        <v>1747.1999999999998</v>
      </c>
      <c r="D56" s="213"/>
    </row>
    <row r="57" spans="1:14" x14ac:dyDescent="0.25">
      <c r="A57" s="533" t="s">
        <v>768</v>
      </c>
      <c r="B57" s="534"/>
      <c r="C57" s="281">
        <f>C54*35*52/12</f>
        <v>1766.9166666666667</v>
      </c>
      <c r="D57" s="213"/>
    </row>
    <row r="58" spans="1:14" x14ac:dyDescent="0.25">
      <c r="A58" s="1220" t="s">
        <v>769</v>
      </c>
      <c r="B58" s="1221"/>
      <c r="C58" s="215">
        <f>1.6*C54*35*52/12</f>
        <v>2827.0666666666662</v>
      </c>
      <c r="D58" s="213"/>
    </row>
    <row r="59" spans="1:14" x14ac:dyDescent="0.25">
      <c r="A59" s="1212" t="s">
        <v>770</v>
      </c>
      <c r="B59" s="1213"/>
      <c r="C59" s="511">
        <f>2.5*C53*35*52/12</f>
        <v>4367.9999999999991</v>
      </c>
      <c r="D59" s="205"/>
    </row>
    <row r="60" spans="1:14" x14ac:dyDescent="0.25">
      <c r="A60" s="1212" t="s">
        <v>771</v>
      </c>
      <c r="B60" s="1213"/>
      <c r="C60" s="511">
        <f>3.5*C53*35*52/12</f>
        <v>6115.2000000000007</v>
      </c>
      <c r="D60" s="205"/>
    </row>
    <row r="61" spans="1:14" x14ac:dyDescent="0.25">
      <c r="A61" s="1202" t="s">
        <v>772</v>
      </c>
      <c r="B61" s="1203"/>
      <c r="C61" s="513">
        <v>0.31940000000000002</v>
      </c>
      <c r="D61" s="514">
        <v>0.32340000000000002</v>
      </c>
    </row>
    <row r="62" spans="1:14" x14ac:dyDescent="0.25">
      <c r="B62" s="13"/>
      <c r="C62" s="592"/>
      <c r="D62"/>
    </row>
    <row r="63" spans="1:14" x14ac:dyDescent="0.25">
      <c r="A63" s="1202" t="s">
        <v>226</v>
      </c>
      <c r="B63" s="1203"/>
      <c r="C63" s="282"/>
      <c r="D63" s="283" t="s">
        <v>86</v>
      </c>
    </row>
    <row r="64" spans="1:14" x14ac:dyDescent="0.25">
      <c r="A64" s="1202" t="s">
        <v>224</v>
      </c>
      <c r="B64" s="1203"/>
      <c r="C64" s="282"/>
      <c r="D64" s="283" t="s">
        <v>225</v>
      </c>
    </row>
    <row r="65" spans="1:4" x14ac:dyDescent="0.25">
      <c r="A65" s="1198" t="s">
        <v>216</v>
      </c>
      <c r="B65" s="1199"/>
      <c r="C65" s="515">
        <v>7.18</v>
      </c>
      <c r="D65" s="284"/>
    </row>
    <row r="66" spans="1:4" x14ac:dyDescent="0.25">
      <c r="A66" s="1198" t="s">
        <v>227</v>
      </c>
      <c r="B66" s="1199"/>
      <c r="C66" s="515">
        <v>86.4</v>
      </c>
      <c r="D66" s="284"/>
    </row>
    <row r="67" spans="1:4" x14ac:dyDescent="0.25">
      <c r="A67" s="216"/>
      <c r="B67" s="59"/>
      <c r="C67" s="285"/>
      <c r="D67" s="217"/>
    </row>
    <row r="68" spans="1:4" ht="15.75" x14ac:dyDescent="0.25">
      <c r="A68" s="218"/>
      <c r="B68" s="1223" t="s">
        <v>283</v>
      </c>
      <c r="C68" s="1223"/>
      <c r="D68"/>
    </row>
    <row r="69" spans="1:4" ht="15.75" x14ac:dyDescent="0.25">
      <c r="A69" s="218"/>
      <c r="B69" s="291" t="s">
        <v>277</v>
      </c>
      <c r="C69" s="291" t="s">
        <v>90</v>
      </c>
      <c r="D69" s="291" t="s">
        <v>277</v>
      </c>
    </row>
    <row r="70" spans="1:4" ht="15.75" x14ac:dyDescent="0.25">
      <c r="A70" s="300" t="s">
        <v>42</v>
      </c>
      <c r="B70" s="292">
        <v>3.15E-2</v>
      </c>
      <c r="C70" s="293">
        <v>4.7199999999999999E-2</v>
      </c>
      <c r="D70" s="292">
        <v>3.15E-2</v>
      </c>
    </row>
    <row r="71" spans="1:4" ht="15.75" x14ac:dyDescent="0.25">
      <c r="A71" s="300" t="s">
        <v>278</v>
      </c>
      <c r="B71" s="292">
        <v>8.6E-3</v>
      </c>
      <c r="C71" s="292">
        <v>1.29E-2</v>
      </c>
      <c r="D71" s="292">
        <v>8.6E-3</v>
      </c>
    </row>
    <row r="72" spans="1:4" ht="15.75" x14ac:dyDescent="0.25">
      <c r="A72" s="300" t="s">
        <v>280</v>
      </c>
      <c r="B72" s="39"/>
      <c r="C72" s="299"/>
      <c r="D72" s="292">
        <v>1.4E-3</v>
      </c>
    </row>
    <row r="73" spans="1:4" ht="31.5" x14ac:dyDescent="0.25">
      <c r="A73" s="295" t="s">
        <v>285</v>
      </c>
      <c r="B73" s="296">
        <f>+B70+B71</f>
        <v>4.0099999999999997E-2</v>
      </c>
      <c r="C73" s="296">
        <f>+C70+C71</f>
        <v>6.0100000000000001E-2</v>
      </c>
      <c r="D73" s="296">
        <f>SUM(D70:D72)</f>
        <v>4.1499999999999995E-2</v>
      </c>
    </row>
    <row r="74" spans="1:4" ht="15.75" x14ac:dyDescent="0.25">
      <c r="A74" s="297"/>
      <c r="B74" s="298"/>
      <c r="C74" s="298"/>
      <c r="D74" s="298"/>
    </row>
    <row r="75" spans="1:4" ht="15.75" x14ac:dyDescent="0.25">
      <c r="A75" s="218"/>
      <c r="B75" s="218"/>
      <c r="C75" s="294"/>
      <c r="D75" s="291" t="s">
        <v>89</v>
      </c>
    </row>
    <row r="76" spans="1:4" ht="15.75" x14ac:dyDescent="0.25">
      <c r="A76" s="300" t="s">
        <v>43</v>
      </c>
      <c r="B76" s="218"/>
      <c r="C76" s="294"/>
      <c r="D76" s="292">
        <v>8.6400000000000005E-2</v>
      </c>
    </row>
    <row r="77" spans="1:4" ht="15.75" x14ac:dyDescent="0.25">
      <c r="A77" s="300" t="s">
        <v>279</v>
      </c>
      <c r="B77" s="218"/>
      <c r="C77" s="294"/>
      <c r="D77" s="292">
        <v>1.0800000000000001E-2</v>
      </c>
    </row>
    <row r="78" spans="1:4" ht="15.75" x14ac:dyDescent="0.25">
      <c r="A78" s="300" t="s">
        <v>281</v>
      </c>
      <c r="B78" s="218"/>
      <c r="C78" s="294"/>
      <c r="D78" s="292">
        <v>1.4E-3</v>
      </c>
    </row>
    <row r="79" spans="1:4" ht="31.5" x14ac:dyDescent="0.25">
      <c r="A79" s="295" t="s">
        <v>286</v>
      </c>
      <c r="B79" s="218"/>
      <c r="C79" s="294"/>
      <c r="D79" s="296">
        <f>SUM(D76:D78)</f>
        <v>9.8600000000000007E-2</v>
      </c>
    </row>
    <row r="80" spans="1:4" ht="15.75" x14ac:dyDescent="0.25">
      <c r="A80" s="188"/>
      <c r="B80" s="59"/>
      <c r="C80" s="286"/>
      <c r="D80" s="287"/>
    </row>
    <row r="81" spans="1:4" x14ac:dyDescent="0.25">
      <c r="A81" s="59"/>
      <c r="B81" s="59"/>
      <c r="C81" s="288"/>
      <c r="D81" s="217"/>
    </row>
    <row r="82" spans="1:4" x14ac:dyDescent="0.25">
      <c r="A82" s="1054" t="s">
        <v>773</v>
      </c>
      <c r="B82" s="1055"/>
      <c r="C82" s="1056"/>
      <c r="D82" s="217"/>
    </row>
    <row r="83" spans="1:4" ht="42.75" x14ac:dyDescent="0.25">
      <c r="A83" s="1057" t="s">
        <v>217</v>
      </c>
      <c r="B83" s="1059"/>
      <c r="C83" s="535" t="s">
        <v>774</v>
      </c>
      <c r="D83" s="535" t="s">
        <v>498</v>
      </c>
    </row>
    <row r="84" spans="1:4" x14ac:dyDescent="0.25">
      <c r="A84" s="1054" t="s">
        <v>218</v>
      </c>
      <c r="B84" s="1056"/>
      <c r="C84" s="289" t="s">
        <v>219</v>
      </c>
      <c r="D84" s="516">
        <v>3.2000000000000001E-2</v>
      </c>
    </row>
    <row r="85" spans="1:4" x14ac:dyDescent="0.25">
      <c r="A85" s="1054" t="s">
        <v>220</v>
      </c>
      <c r="B85" s="1056"/>
      <c r="C85" s="289" t="s">
        <v>219</v>
      </c>
      <c r="D85" s="516">
        <v>3.2000000000000001E-2</v>
      </c>
    </row>
    <row r="86" spans="1:4" x14ac:dyDescent="0.25">
      <c r="A86" s="1049" t="s">
        <v>221</v>
      </c>
      <c r="B86" s="1049"/>
      <c r="C86" s="289" t="s">
        <v>499</v>
      </c>
    </row>
    <row r="87" spans="1:4" x14ac:dyDescent="0.25">
      <c r="A87" s="1222"/>
      <c r="B87" s="1222"/>
      <c r="C87" s="517"/>
    </row>
    <row r="88" spans="1:4" x14ac:dyDescent="0.25">
      <c r="A88" t="s">
        <v>222</v>
      </c>
    </row>
    <row r="89" spans="1:4" x14ac:dyDescent="0.25">
      <c r="A89" s="59" t="s">
        <v>223</v>
      </c>
    </row>
    <row r="90" spans="1:4" x14ac:dyDescent="0.25">
      <c r="B90" s="59"/>
      <c r="C90" s="285"/>
    </row>
  </sheetData>
  <mergeCells count="74">
    <mergeCell ref="A87:B87"/>
    <mergeCell ref="A61:B61"/>
    <mergeCell ref="A63:B63"/>
    <mergeCell ref="A64:B64"/>
    <mergeCell ref="A65:B65"/>
    <mergeCell ref="A66:B66"/>
    <mergeCell ref="B68:C68"/>
    <mergeCell ref="A82:C82"/>
    <mergeCell ref="A83:B83"/>
    <mergeCell ref="A84:B84"/>
    <mergeCell ref="A85:B85"/>
    <mergeCell ref="A86:B86"/>
    <mergeCell ref="K43:N43"/>
    <mergeCell ref="A44:B44"/>
    <mergeCell ref="K44:N44"/>
    <mergeCell ref="A45:B45"/>
    <mergeCell ref="A60:B60"/>
    <mergeCell ref="A47:B47"/>
    <mergeCell ref="A48:B48"/>
    <mergeCell ref="A49:B49"/>
    <mergeCell ref="A50:D50"/>
    <mergeCell ref="A51:B51"/>
    <mergeCell ref="A52:B52"/>
    <mergeCell ref="A53:B53"/>
    <mergeCell ref="A55:B55"/>
    <mergeCell ref="A56:B56"/>
    <mergeCell ref="A58:B58"/>
    <mergeCell ref="A59:B59"/>
    <mergeCell ref="A31:B31"/>
    <mergeCell ref="A32:B32"/>
    <mergeCell ref="A38:B38"/>
    <mergeCell ref="A39:B39"/>
    <mergeCell ref="A46:B46"/>
    <mergeCell ref="A40:B40"/>
    <mergeCell ref="A41:B41"/>
    <mergeCell ref="A42:B42"/>
    <mergeCell ref="A43:D43"/>
    <mergeCell ref="A24:B24"/>
    <mergeCell ref="A25:B25"/>
    <mergeCell ref="A28:B28"/>
    <mergeCell ref="A29:B29"/>
    <mergeCell ref="A30:B30"/>
    <mergeCell ref="F13:J13"/>
    <mergeCell ref="A14:B14"/>
    <mergeCell ref="A15:B15"/>
    <mergeCell ref="A16:D16"/>
    <mergeCell ref="A17:B17"/>
    <mergeCell ref="A8:B8"/>
    <mergeCell ref="A9:B9"/>
    <mergeCell ref="A10:B10"/>
    <mergeCell ref="A11:B11"/>
    <mergeCell ref="A23:B23"/>
    <mergeCell ref="A12:B12"/>
    <mergeCell ref="A13:B13"/>
    <mergeCell ref="A18:B18"/>
    <mergeCell ref="A19:B19"/>
    <mergeCell ref="A21:B21"/>
    <mergeCell ref="A22:B22"/>
    <mergeCell ref="O28:P28"/>
    <mergeCell ref="A1:B1"/>
    <mergeCell ref="E1:K1"/>
    <mergeCell ref="A2:B2"/>
    <mergeCell ref="A3:B3"/>
    <mergeCell ref="E3:E4"/>
    <mergeCell ref="F3:F4"/>
    <mergeCell ref="G3:H3"/>
    <mergeCell ref="I3:J3"/>
    <mergeCell ref="K3:K4"/>
    <mergeCell ref="L3:L4"/>
    <mergeCell ref="A4:B4"/>
    <mergeCell ref="A5:B5"/>
    <mergeCell ref="E5:E14"/>
    <mergeCell ref="A6:B6"/>
    <mergeCell ref="A7:D7"/>
  </mergeCells>
  <pageMargins left="0.7" right="0.7" top="0.75" bottom="0.75" header="0.3" footer="0.3"/>
  <drawing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90"/>
  <sheetViews>
    <sheetView topLeftCell="A54" zoomScale="167" zoomScaleNormal="167" workbookViewId="0">
      <selection activeCell="C55" sqref="C55"/>
    </sheetView>
  </sheetViews>
  <sheetFormatPr baseColWidth="10" defaultRowHeight="15" x14ac:dyDescent="0.25"/>
  <cols>
    <col min="1" max="1" width="29" customWidth="1"/>
    <col min="2" max="2" width="19" customWidth="1"/>
    <col min="3" max="3" width="19" style="290" customWidth="1"/>
    <col min="4" max="4" width="19" style="31" customWidth="1"/>
    <col min="5" max="5" width="19" style="37" customWidth="1"/>
  </cols>
  <sheetData>
    <row r="1" spans="1:5" ht="48" customHeight="1" x14ac:dyDescent="0.25">
      <c r="A1" s="1174" t="s">
        <v>74</v>
      </c>
      <c r="B1" s="1175"/>
      <c r="C1" s="29" t="s">
        <v>75</v>
      </c>
      <c r="D1" s="269" t="s">
        <v>76</v>
      </c>
    </row>
    <row r="2" spans="1:5" ht="19.5" customHeight="1" x14ac:dyDescent="0.25">
      <c r="A2" s="1177" t="s">
        <v>273</v>
      </c>
      <c r="B2" s="1178"/>
      <c r="C2" s="29"/>
      <c r="D2" s="269"/>
    </row>
    <row r="3" spans="1:5" s="59" customFormat="1" ht="19.5" customHeight="1" x14ac:dyDescent="0.25">
      <c r="A3" s="1179" t="s">
        <v>1035</v>
      </c>
      <c r="B3" s="1180"/>
      <c r="C3" s="205"/>
      <c r="D3" s="803">
        <v>0.13</v>
      </c>
      <c r="E3" s="206"/>
    </row>
    <row r="4" spans="1:5" s="59" customFormat="1" ht="19.5" customHeight="1" x14ac:dyDescent="0.25">
      <c r="A4" s="1185"/>
      <c r="B4" s="1186"/>
      <c r="C4" s="205"/>
      <c r="D4" s="205"/>
      <c r="E4" s="66"/>
    </row>
    <row r="5" spans="1:5" s="59" customFormat="1" ht="19.5" customHeight="1" x14ac:dyDescent="0.25">
      <c r="A5" s="1185" t="s">
        <v>203</v>
      </c>
      <c r="B5" s="1186"/>
      <c r="C5" s="379"/>
      <c r="D5" s="379"/>
      <c r="E5" s="1231"/>
    </row>
    <row r="6" spans="1:5" s="59" customFormat="1" ht="19.5" customHeight="1" x14ac:dyDescent="0.25">
      <c r="A6" s="1185" t="s">
        <v>259</v>
      </c>
      <c r="B6" s="1186"/>
      <c r="C6" s="205"/>
      <c r="D6" s="205"/>
      <c r="E6" s="1231"/>
    </row>
    <row r="7" spans="1:5" s="59" customFormat="1" ht="19.5" customHeight="1" x14ac:dyDescent="0.25">
      <c r="A7" s="1191"/>
      <c r="B7" s="1192"/>
      <c r="C7" s="1192"/>
      <c r="D7" s="1193"/>
      <c r="E7" s="270"/>
    </row>
    <row r="8" spans="1:5" s="59" customFormat="1" ht="19.5" customHeight="1" x14ac:dyDescent="0.25">
      <c r="A8" s="1194" t="s">
        <v>38</v>
      </c>
      <c r="B8" s="1195"/>
      <c r="C8" s="271"/>
      <c r="D8" s="272"/>
    </row>
    <row r="9" spans="1:5" s="59" customFormat="1" ht="19.5" customHeight="1" x14ac:dyDescent="0.25">
      <c r="A9" s="1196" t="s">
        <v>274</v>
      </c>
      <c r="B9" s="1197"/>
      <c r="C9" s="32"/>
      <c r="D9" s="32"/>
    </row>
    <row r="10" spans="1:5" s="59" customFormat="1" ht="19.5" customHeight="1" x14ac:dyDescent="0.25">
      <c r="A10" s="943" t="s">
        <v>1056</v>
      </c>
      <c r="B10" s="944"/>
      <c r="C10" s="33"/>
      <c r="D10" s="802">
        <v>5.2499999999999998E-2</v>
      </c>
    </row>
    <row r="11" spans="1:5" s="59" customFormat="1" ht="19.5" customHeight="1" x14ac:dyDescent="0.25">
      <c r="A11" s="996"/>
      <c r="B11" s="947"/>
      <c r="C11" s="33"/>
      <c r="D11" s="208"/>
    </row>
    <row r="12" spans="1:5" s="59" customFormat="1" ht="19.5" customHeight="1" x14ac:dyDescent="0.25">
      <c r="A12" s="1200" t="s">
        <v>275</v>
      </c>
      <c r="B12" s="1201"/>
      <c r="C12" s="273"/>
      <c r="D12" s="207"/>
    </row>
    <row r="13" spans="1:5" s="59" customFormat="1" ht="19.5" customHeight="1" x14ac:dyDescent="0.25">
      <c r="A13" s="1202" t="s">
        <v>212</v>
      </c>
      <c r="B13" s="1203"/>
      <c r="C13" s="209"/>
      <c r="D13" s="209">
        <v>0.04</v>
      </c>
      <c r="E13" s="59" t="s">
        <v>985</v>
      </c>
    </row>
    <row r="14" spans="1:5" s="59" customFormat="1" ht="19.5" customHeight="1" x14ac:dyDescent="0.25">
      <c r="A14" s="1202" t="s">
        <v>228</v>
      </c>
      <c r="B14" s="1203"/>
      <c r="C14" s="209"/>
      <c r="D14" s="209">
        <v>2.5000000000000001E-3</v>
      </c>
    </row>
    <row r="15" spans="1:5" s="59" customFormat="1" ht="19.5" customHeight="1" x14ac:dyDescent="0.25">
      <c r="A15" s="1205" t="s">
        <v>288</v>
      </c>
      <c r="B15" s="1206"/>
      <c r="C15" s="274">
        <v>2.4000000000000001E-4</v>
      </c>
      <c r="D15" s="275">
        <v>3.6000000000000002E-4</v>
      </c>
    </row>
    <row r="16" spans="1:5" s="59" customFormat="1" ht="19.5" customHeight="1" x14ac:dyDescent="0.25">
      <c r="A16" s="1207" t="s">
        <v>39</v>
      </c>
      <c r="B16" s="1208"/>
      <c r="C16" s="1208"/>
      <c r="D16" s="1208"/>
    </row>
    <row r="17" spans="1:5" s="59" customFormat="1" ht="19.5" customHeight="1" x14ac:dyDescent="0.25">
      <c r="A17" s="1198" t="s">
        <v>40</v>
      </c>
      <c r="B17" s="1199"/>
      <c r="C17" s="204">
        <v>6.9000000000000006E-2</v>
      </c>
      <c r="D17" s="204">
        <v>8.5500000000000007E-2</v>
      </c>
    </row>
    <row r="18" spans="1:5" s="59" customFormat="1" ht="19.5" customHeight="1" x14ac:dyDescent="0.25">
      <c r="A18" s="1198" t="s">
        <v>41</v>
      </c>
      <c r="B18" s="1199"/>
      <c r="C18" s="204">
        <v>4.0000000000000001E-3</v>
      </c>
      <c r="D18" s="802">
        <v>2.1100000000000001E-2</v>
      </c>
    </row>
    <row r="19" spans="1:5" s="59" customFormat="1" ht="19.5" customHeight="1" x14ac:dyDescent="0.25">
      <c r="A19" s="1198" t="s">
        <v>42</v>
      </c>
      <c r="B19" s="1199"/>
      <c r="C19" s="204">
        <v>3.15E-2</v>
      </c>
      <c r="D19" s="204">
        <v>4.7199999999999999E-2</v>
      </c>
    </row>
    <row r="20" spans="1:5" s="59" customFormat="1" ht="19.5" customHeight="1" x14ac:dyDescent="0.25">
      <c r="A20" s="1198" t="s">
        <v>43</v>
      </c>
      <c r="B20" s="1199"/>
      <c r="C20" s="204">
        <v>8.6400000000000005E-2</v>
      </c>
      <c r="D20" s="204">
        <v>0.1295</v>
      </c>
    </row>
    <row r="21" spans="1:5" s="59" customFormat="1" ht="19.5" customHeight="1" x14ac:dyDescent="0.25">
      <c r="A21" s="1198" t="s">
        <v>80</v>
      </c>
      <c r="B21" s="1199"/>
      <c r="C21" s="204">
        <v>8.6E-3</v>
      </c>
      <c r="D21" s="204">
        <v>1.29E-2</v>
      </c>
    </row>
    <row r="22" spans="1:5" s="59" customFormat="1" ht="19.5" customHeight="1" x14ac:dyDescent="0.25">
      <c r="A22" s="1198" t="s">
        <v>81</v>
      </c>
      <c r="B22" s="1199"/>
      <c r="C22" s="204">
        <v>1.0800000000000001E-2</v>
      </c>
      <c r="D22" s="204">
        <v>1.6199999999999999E-2</v>
      </c>
    </row>
    <row r="23" spans="1:5" s="59" customFormat="1" ht="19.5" customHeight="1" x14ac:dyDescent="0.25">
      <c r="A23" s="1198" t="s">
        <v>82</v>
      </c>
      <c r="B23" s="1199"/>
      <c r="C23" s="204">
        <v>1.4E-3</v>
      </c>
      <c r="D23" s="204">
        <v>2.0999999999999999E-3</v>
      </c>
    </row>
    <row r="24" spans="1:5" s="59" customFormat="1" ht="19.5" customHeight="1" x14ac:dyDescent="0.25">
      <c r="A24" s="1198" t="s">
        <v>83</v>
      </c>
      <c r="B24" s="1199"/>
      <c r="C24" s="204">
        <v>1.4E-3</v>
      </c>
      <c r="D24" s="204">
        <v>2.0999999999999999E-3</v>
      </c>
    </row>
    <row r="25" spans="1:5" s="59" customFormat="1" ht="19.5" customHeight="1" x14ac:dyDescent="0.25">
      <c r="A25" s="224"/>
      <c r="B25" s="225"/>
      <c r="C25" s="273"/>
      <c r="D25" s="207"/>
      <c r="E25" s="270"/>
    </row>
    <row r="26" spans="1:5" s="59" customFormat="1" ht="19.5" customHeight="1" x14ac:dyDescent="0.25">
      <c r="A26" s="1198" t="s">
        <v>213</v>
      </c>
      <c r="B26" s="1199"/>
      <c r="C26" s="33"/>
      <c r="D26" s="204">
        <v>1E-3</v>
      </c>
      <c r="E26" s="270"/>
    </row>
    <row r="27" spans="1:5" s="59" customFormat="1" ht="19.5" customHeight="1" x14ac:dyDescent="0.25">
      <c r="A27" s="1209" t="s">
        <v>214</v>
      </c>
      <c r="B27" s="1210"/>
      <c r="C27" s="33"/>
      <c r="D27" s="204">
        <v>5.0000000000000001E-3</v>
      </c>
      <c r="E27" s="270"/>
    </row>
    <row r="28" spans="1:5" s="59" customFormat="1" ht="19.5" customHeight="1" x14ac:dyDescent="0.25">
      <c r="A28" s="1209" t="s">
        <v>186</v>
      </c>
      <c r="B28" s="1210"/>
      <c r="C28" s="33"/>
      <c r="D28" s="204">
        <v>3.2000000000000001E-2</v>
      </c>
      <c r="E28" s="270" t="s">
        <v>497</v>
      </c>
    </row>
    <row r="29" spans="1:5" s="59" customFormat="1" ht="19.5" customHeight="1" x14ac:dyDescent="0.25">
      <c r="A29" s="1198" t="s">
        <v>78</v>
      </c>
      <c r="B29" s="1199"/>
      <c r="C29" s="33"/>
      <c r="D29" s="204">
        <v>3.0000000000000001E-3</v>
      </c>
      <c r="E29" s="270"/>
    </row>
    <row r="30" spans="1:5" s="59" customFormat="1" ht="19.5" customHeight="1" x14ac:dyDescent="0.25">
      <c r="A30" s="1198" t="s">
        <v>47</v>
      </c>
      <c r="B30" s="1199"/>
      <c r="C30" s="33"/>
      <c r="D30" s="204">
        <v>0.08</v>
      </c>
      <c r="E30" s="270"/>
    </row>
    <row r="31" spans="1:5" s="59" customFormat="1" ht="19.5" customHeight="1" x14ac:dyDescent="0.25">
      <c r="A31" s="220" t="s">
        <v>231</v>
      </c>
      <c r="B31" s="220"/>
      <c r="C31" s="33"/>
      <c r="D31" s="204">
        <v>0.2</v>
      </c>
      <c r="E31" s="270"/>
    </row>
    <row r="32" spans="1:5" s="59" customFormat="1" ht="15.75" x14ac:dyDescent="0.25">
      <c r="A32" s="1198" t="s">
        <v>79</v>
      </c>
      <c r="B32" s="1199"/>
      <c r="C32" s="33"/>
      <c r="D32" s="209">
        <v>1.6000000000000001E-4</v>
      </c>
      <c r="E32" s="206"/>
    </row>
    <row r="33" spans="1:5" s="59" customFormat="1" ht="15.75" x14ac:dyDescent="0.25">
      <c r="A33" s="1198" t="s">
        <v>84</v>
      </c>
      <c r="B33" s="1199"/>
      <c r="C33" s="30"/>
      <c r="D33" s="204">
        <v>6.7999999999999996E-3</v>
      </c>
      <c r="E33" s="206"/>
    </row>
    <row r="34" spans="1:5" s="59" customFormat="1" ht="15" customHeight="1" x14ac:dyDescent="0.25">
      <c r="A34" s="1198" t="s">
        <v>215</v>
      </c>
      <c r="B34" s="1199"/>
      <c r="C34" s="30"/>
      <c r="D34" s="204">
        <v>0.01</v>
      </c>
      <c r="E34" s="210"/>
    </row>
    <row r="35" spans="1:5" s="59" customFormat="1" ht="15" customHeight="1" x14ac:dyDescent="0.25">
      <c r="A35" s="1198" t="s">
        <v>215</v>
      </c>
      <c r="B35" s="1199"/>
      <c r="C35" s="30"/>
      <c r="D35" s="204">
        <v>5.4999999999999997E-3</v>
      </c>
      <c r="E35" s="210"/>
    </row>
    <row r="36" spans="1:5" s="59" customFormat="1" ht="15" customHeight="1" x14ac:dyDescent="0.25">
      <c r="A36" s="1198" t="s">
        <v>87</v>
      </c>
      <c r="B36" s="1199"/>
      <c r="C36" s="30"/>
      <c r="D36" s="204">
        <v>4.4999999999999997E-3</v>
      </c>
      <c r="E36" s="211"/>
    </row>
    <row r="37" spans="1:5" s="59" customFormat="1" ht="15" customHeight="1" x14ac:dyDescent="0.25">
      <c r="A37" s="1225"/>
      <c r="B37" s="1226"/>
      <c r="C37" s="273"/>
      <c r="D37" s="207"/>
      <c r="E37" s="211"/>
    </row>
    <row r="38" spans="1:5" s="59" customFormat="1" ht="15" customHeight="1" x14ac:dyDescent="0.25">
      <c r="A38" s="1212" t="s">
        <v>49</v>
      </c>
      <c r="B38" s="1213"/>
      <c r="C38" s="276">
        <v>6.8000000000000005E-2</v>
      </c>
      <c r="D38" s="212"/>
      <c r="E38" s="503"/>
    </row>
    <row r="39" spans="1:5" s="59" customFormat="1" ht="15.75" customHeight="1" x14ac:dyDescent="0.25">
      <c r="A39" s="1211" t="s">
        <v>50</v>
      </c>
      <c r="B39" s="1211"/>
      <c r="C39" s="276">
        <v>2.9000000000000001E-2</v>
      </c>
      <c r="D39" s="212"/>
      <c r="E39" s="206"/>
    </row>
    <row r="40" spans="1:5" s="59" customFormat="1" ht="15.75" customHeight="1" x14ac:dyDescent="0.25">
      <c r="A40" s="1212" t="s">
        <v>51</v>
      </c>
      <c r="B40" s="1213"/>
      <c r="C40" s="276">
        <v>6.8000000000000005E-2</v>
      </c>
      <c r="D40" s="212"/>
      <c r="E40" s="206"/>
    </row>
    <row r="41" spans="1:5" s="59" customFormat="1" ht="15" customHeight="1" x14ac:dyDescent="0.25">
      <c r="A41" s="1212" t="s">
        <v>52</v>
      </c>
      <c r="B41" s="1213"/>
      <c r="C41" s="276">
        <v>6.8000000000000005E-2</v>
      </c>
      <c r="D41" s="212"/>
    </row>
    <row r="42" spans="1:5" s="59" customFormat="1" ht="15" customHeight="1" x14ac:dyDescent="0.25">
      <c r="A42" s="1212" t="s">
        <v>53</v>
      </c>
      <c r="B42" s="1213"/>
      <c r="C42" s="276">
        <v>2.9000000000000001E-2</v>
      </c>
      <c r="D42" s="212"/>
    </row>
    <row r="43" spans="1:5" s="59" customFormat="1" ht="10.5" customHeight="1" x14ac:dyDescent="0.25">
      <c r="A43" s="1214"/>
      <c r="B43" s="1215"/>
      <c r="C43" s="1215"/>
      <c r="D43" s="1216"/>
      <c r="E43" s="36"/>
    </row>
    <row r="44" spans="1:5" s="59" customFormat="1" ht="15" customHeight="1" x14ac:dyDescent="0.25">
      <c r="A44" s="1218" t="s">
        <v>276</v>
      </c>
      <c r="B44" s="1219"/>
      <c r="C44" s="277"/>
      <c r="D44" s="278"/>
      <c r="E44" s="206"/>
    </row>
    <row r="45" spans="1:5" s="59" customFormat="1" ht="15" customHeight="1" x14ac:dyDescent="0.25">
      <c r="A45" s="1206" t="s">
        <v>264</v>
      </c>
      <c r="B45" s="1211"/>
      <c r="C45" s="276"/>
      <c r="D45" s="276"/>
      <c r="E45" s="187"/>
    </row>
    <row r="46" spans="1:5" s="59" customFormat="1" ht="15" customHeight="1" x14ac:dyDescent="0.25">
      <c r="A46" s="1206" t="s">
        <v>263</v>
      </c>
      <c r="B46" s="1211"/>
      <c r="C46" s="276"/>
      <c r="D46" s="276"/>
      <c r="E46" s="187"/>
    </row>
    <row r="47" spans="1:5" s="59" customFormat="1" ht="15" customHeight="1" x14ac:dyDescent="0.25">
      <c r="A47" s="925" t="s">
        <v>209</v>
      </c>
      <c r="B47" s="925"/>
      <c r="C47" s="276"/>
      <c r="D47" s="276">
        <v>1.4999999999999999E-2</v>
      </c>
      <c r="E47" s="187"/>
    </row>
    <row r="48" spans="1:5" s="59" customFormat="1" ht="15" customHeight="1" x14ac:dyDescent="0.25">
      <c r="A48" s="1212" t="s">
        <v>210</v>
      </c>
      <c r="B48" s="1213"/>
      <c r="C48" s="277"/>
      <c r="D48" s="279"/>
      <c r="E48" s="206"/>
    </row>
    <row r="49" spans="1:6" s="59" customFormat="1" ht="15" customHeight="1" x14ac:dyDescent="0.25">
      <c r="A49" s="1212" t="s">
        <v>211</v>
      </c>
      <c r="B49" s="1213"/>
      <c r="C49" s="277"/>
      <c r="D49" s="279"/>
      <c r="E49" s="206"/>
    </row>
    <row r="50" spans="1:6" s="59" customFormat="1" ht="8.25" customHeight="1" x14ac:dyDescent="0.25">
      <c r="A50" s="1191"/>
      <c r="B50" s="1192"/>
      <c r="C50" s="1192"/>
      <c r="D50" s="1193"/>
      <c r="E50" s="206"/>
    </row>
    <row r="51" spans="1:6" s="59" customFormat="1" ht="15" customHeight="1" x14ac:dyDescent="0.25">
      <c r="A51" s="1220" t="s">
        <v>1036</v>
      </c>
      <c r="B51" s="1221"/>
      <c r="C51" s="510">
        <v>4005</v>
      </c>
      <c r="D51" s="280"/>
      <c r="E51" s="206"/>
    </row>
    <row r="52" spans="1:6" s="59" customFormat="1" x14ac:dyDescent="0.25">
      <c r="A52" s="1220" t="s">
        <v>1037</v>
      </c>
      <c r="B52" s="1221"/>
      <c r="C52" s="215">
        <v>11.88</v>
      </c>
      <c r="D52" s="213"/>
      <c r="E52" s="206"/>
    </row>
    <row r="53" spans="1:6" s="59" customFormat="1" hidden="1" x14ac:dyDescent="0.25">
      <c r="A53" s="1220"/>
      <c r="B53" s="1221"/>
      <c r="C53" s="215">
        <v>11.88</v>
      </c>
      <c r="D53" s="213"/>
      <c r="E53" s="206"/>
    </row>
    <row r="54" spans="1:6" s="59" customFormat="1" x14ac:dyDescent="0.25">
      <c r="A54" s="505" t="s">
        <v>1038</v>
      </c>
      <c r="B54" s="506"/>
      <c r="C54" s="510">
        <v>12.02</v>
      </c>
      <c r="D54" s="213"/>
      <c r="E54" s="206"/>
    </row>
    <row r="55" spans="1:6" s="59" customFormat="1" x14ac:dyDescent="0.25">
      <c r="A55" s="1220" t="s">
        <v>501</v>
      </c>
      <c r="B55" s="1221"/>
      <c r="C55" s="281"/>
      <c r="D55" s="213"/>
      <c r="E55" s="206"/>
    </row>
    <row r="56" spans="1:6" s="59" customFormat="1" x14ac:dyDescent="0.25">
      <c r="A56" s="1220" t="s">
        <v>501</v>
      </c>
      <c r="B56" s="1221"/>
      <c r="C56" s="281"/>
      <c r="D56" s="213"/>
      <c r="E56" s="206"/>
    </row>
    <row r="57" spans="1:6" s="59" customFormat="1" x14ac:dyDescent="0.25">
      <c r="A57" s="505" t="s">
        <v>1039</v>
      </c>
      <c r="B57" s="506"/>
      <c r="C57" s="281">
        <f>C54*35*52/12</f>
        <v>1823.0333333333331</v>
      </c>
      <c r="D57" s="213"/>
      <c r="E57" s="804">
        <f>ROUND(C54*151.67,2)</f>
        <v>1823.07</v>
      </c>
      <c r="F57" s="59" t="s">
        <v>1040</v>
      </c>
    </row>
    <row r="58" spans="1:6" s="59" customFormat="1" hidden="1" x14ac:dyDescent="0.25">
      <c r="A58" s="1220"/>
      <c r="B58" s="1221"/>
      <c r="C58" s="215"/>
      <c r="D58" s="213"/>
      <c r="E58" s="804"/>
    </row>
    <row r="59" spans="1:6" s="59" customFormat="1" hidden="1" x14ac:dyDescent="0.25">
      <c r="A59" s="1212"/>
      <c r="B59" s="1213"/>
      <c r="C59" s="511"/>
      <c r="D59" s="205"/>
      <c r="E59" s="804"/>
      <c r="F59" s="512"/>
    </row>
    <row r="60" spans="1:6" s="59" customFormat="1" ht="18.75" customHeight="1" x14ac:dyDescent="0.25">
      <c r="A60" s="1212" t="s">
        <v>1041</v>
      </c>
      <c r="B60" s="1213"/>
      <c r="C60" s="511">
        <f>3*C54*35*52/12</f>
        <v>5469.1000000000013</v>
      </c>
      <c r="D60" s="205"/>
      <c r="E60" s="512">
        <f>ROUND(3*C54*151.67,2)</f>
        <v>5469.22</v>
      </c>
      <c r="F60" s="59" t="s">
        <v>1040</v>
      </c>
    </row>
    <row r="61" spans="1:6" s="59" customFormat="1" ht="31.5" customHeight="1" x14ac:dyDescent="0.25">
      <c r="A61" s="1202" t="s">
        <v>1042</v>
      </c>
      <c r="B61" s="1203"/>
      <c r="C61" s="805">
        <v>0.37809999999999999</v>
      </c>
      <c r="D61" s="806">
        <v>0.3821</v>
      </c>
    </row>
    <row r="62" spans="1:6" s="59" customFormat="1" ht="15" customHeight="1" x14ac:dyDescent="0.25">
      <c r="A62" s="1227"/>
      <c r="B62" s="1227"/>
      <c r="C62" s="1227"/>
      <c r="D62" s="1228"/>
      <c r="E62" s="223"/>
    </row>
    <row r="63" spans="1:6" s="59" customFormat="1" ht="23.25" customHeight="1" x14ac:dyDescent="0.25">
      <c r="A63" s="1202" t="s">
        <v>226</v>
      </c>
      <c r="B63" s="1203"/>
      <c r="C63" s="282"/>
      <c r="D63" s="283" t="s">
        <v>86</v>
      </c>
      <c r="E63" s="214"/>
    </row>
    <row r="64" spans="1:6" s="59" customFormat="1" ht="17.25" customHeight="1" x14ac:dyDescent="0.25">
      <c r="A64" s="1229" t="s">
        <v>1043</v>
      </c>
      <c r="B64" s="1230"/>
      <c r="C64" s="282"/>
      <c r="D64" s="283" t="s">
        <v>225</v>
      </c>
      <c r="E64" s="214"/>
    </row>
    <row r="65" spans="1:5" s="59" customFormat="1" ht="18" customHeight="1" x14ac:dyDescent="0.25">
      <c r="A65" s="1198" t="s">
        <v>216</v>
      </c>
      <c r="B65" s="1199"/>
      <c r="C65" s="807">
        <v>7.32</v>
      </c>
      <c r="D65" s="284"/>
      <c r="E65" s="219"/>
    </row>
    <row r="66" spans="1:5" s="59" customFormat="1" ht="21" customHeight="1" x14ac:dyDescent="0.25">
      <c r="A66" s="1198" t="s">
        <v>227</v>
      </c>
      <c r="B66" s="1199"/>
      <c r="C66" s="807">
        <v>90.8</v>
      </c>
      <c r="D66" s="284"/>
      <c r="E66" s="219"/>
    </row>
    <row r="67" spans="1:5" s="59" customFormat="1" ht="27" customHeight="1" x14ac:dyDescent="0.25">
      <c r="A67" s="1198" t="s">
        <v>1044</v>
      </c>
      <c r="B67" s="1199"/>
      <c r="C67" s="807">
        <v>748</v>
      </c>
      <c r="D67" s="217"/>
      <c r="E67" s="206"/>
    </row>
    <row r="68" spans="1:5" s="59" customFormat="1" ht="18.75" customHeight="1" x14ac:dyDescent="0.25">
      <c r="A68" s="218"/>
      <c r="B68" s="1223" t="s">
        <v>283</v>
      </c>
      <c r="C68" s="1223"/>
      <c r="D68" s="1224" t="s">
        <v>284</v>
      </c>
      <c r="E68" s="1224"/>
    </row>
    <row r="69" spans="1:5" s="59" customFormat="1" ht="18.75" customHeight="1" x14ac:dyDescent="0.25">
      <c r="A69" s="218"/>
      <c r="B69" s="291" t="s">
        <v>277</v>
      </c>
      <c r="C69" s="291" t="s">
        <v>90</v>
      </c>
      <c r="D69" s="291" t="s">
        <v>277</v>
      </c>
      <c r="E69" s="291" t="s">
        <v>90</v>
      </c>
    </row>
    <row r="70" spans="1:5" s="59" customFormat="1" ht="18.75" customHeight="1" x14ac:dyDescent="0.25">
      <c r="A70" s="300" t="s">
        <v>42</v>
      </c>
      <c r="B70" s="292">
        <v>3.15E-2</v>
      </c>
      <c r="C70" s="293">
        <v>4.7199999999999999E-2</v>
      </c>
      <c r="D70" s="292">
        <v>3.15E-2</v>
      </c>
      <c r="E70" s="293">
        <v>4.7199999999999999E-2</v>
      </c>
    </row>
    <row r="71" spans="1:5" s="59" customFormat="1" ht="18.75" customHeight="1" x14ac:dyDescent="0.25">
      <c r="A71" s="300" t="s">
        <v>278</v>
      </c>
      <c r="B71" s="292">
        <v>8.6E-3</v>
      </c>
      <c r="C71" s="292">
        <v>1.29E-2</v>
      </c>
      <c r="D71" s="292">
        <v>8.6E-3</v>
      </c>
      <c r="E71" s="292">
        <v>1.29E-2</v>
      </c>
    </row>
    <row r="72" spans="1:5" s="59" customFormat="1" ht="18.75" customHeight="1" x14ac:dyDescent="0.25">
      <c r="A72" s="300" t="s">
        <v>280</v>
      </c>
      <c r="B72" s="39"/>
      <c r="C72" s="299"/>
      <c r="D72" s="292">
        <v>1.4E-3</v>
      </c>
      <c r="E72" s="292">
        <v>2.0999999999999999E-3</v>
      </c>
    </row>
    <row r="73" spans="1:5" s="59" customFormat="1" ht="35.25" customHeight="1" x14ac:dyDescent="0.25">
      <c r="A73" s="295" t="s">
        <v>285</v>
      </c>
      <c r="B73" s="296">
        <f>+B70+B71</f>
        <v>4.0099999999999997E-2</v>
      </c>
      <c r="C73" s="296">
        <f>+C70+C71</f>
        <v>6.0100000000000001E-2</v>
      </c>
      <c r="D73" s="296">
        <f>SUM(D70:D72)</f>
        <v>4.1499999999999995E-2</v>
      </c>
      <c r="E73" s="296">
        <f>SUM(E70:E72)</f>
        <v>6.2199999999999998E-2</v>
      </c>
    </row>
    <row r="74" spans="1:5" s="59" customFormat="1" ht="27" customHeight="1" x14ac:dyDescent="0.25">
      <c r="A74" s="297"/>
      <c r="B74" s="298"/>
      <c r="C74" s="298"/>
      <c r="D74" s="298"/>
      <c r="E74" s="298"/>
    </row>
    <row r="75" spans="1:5" s="59" customFormat="1" ht="18.75" customHeight="1" x14ac:dyDescent="0.25">
      <c r="A75" s="218"/>
      <c r="B75" s="218"/>
      <c r="C75" s="294"/>
      <c r="D75" s="291" t="s">
        <v>89</v>
      </c>
      <c r="E75" s="295" t="s">
        <v>90</v>
      </c>
    </row>
    <row r="76" spans="1:5" s="59" customFormat="1" ht="18.75" customHeight="1" x14ac:dyDescent="0.25">
      <c r="A76" s="300" t="s">
        <v>43</v>
      </c>
      <c r="B76" s="218"/>
      <c r="C76" s="294"/>
      <c r="D76" s="292">
        <v>8.6400000000000005E-2</v>
      </c>
      <c r="E76" s="292">
        <v>0.1295</v>
      </c>
    </row>
    <row r="77" spans="1:5" s="59" customFormat="1" ht="18.75" customHeight="1" x14ac:dyDescent="0.25">
      <c r="A77" s="300" t="s">
        <v>279</v>
      </c>
      <c r="B77" s="218"/>
      <c r="C77" s="294"/>
      <c r="D77" s="292">
        <v>1.0800000000000001E-2</v>
      </c>
      <c r="E77" s="292">
        <v>1.6199999999999999E-2</v>
      </c>
    </row>
    <row r="78" spans="1:5" s="59" customFormat="1" ht="18.75" customHeight="1" x14ac:dyDescent="0.25">
      <c r="A78" s="300" t="s">
        <v>281</v>
      </c>
      <c r="B78" s="218"/>
      <c r="C78" s="294"/>
      <c r="D78" s="292">
        <v>1.4E-3</v>
      </c>
      <c r="E78" s="292">
        <v>2.0999999999999999E-3</v>
      </c>
    </row>
    <row r="79" spans="1:5" s="59" customFormat="1" ht="33" customHeight="1" x14ac:dyDescent="0.25">
      <c r="A79" s="295" t="s">
        <v>286</v>
      </c>
      <c r="B79" s="218"/>
      <c r="C79" s="294"/>
      <c r="D79" s="296">
        <f>SUM(D76:D78)</f>
        <v>9.8600000000000007E-2</v>
      </c>
      <c r="E79" s="296">
        <f>SUM(E76:E78)</f>
        <v>0.14779999999999999</v>
      </c>
    </row>
    <row r="80" spans="1:5" s="59" customFormat="1" ht="35.25" customHeight="1" x14ac:dyDescent="0.25">
      <c r="A80" s="188"/>
      <c r="C80" s="286"/>
      <c r="D80" s="287"/>
      <c r="E80" s="188"/>
    </row>
    <row r="81" spans="1:8" s="59" customFormat="1" ht="35.25" customHeight="1" x14ac:dyDescent="0.25">
      <c r="C81" s="288"/>
      <c r="D81" s="217"/>
      <c r="E81" s="206"/>
    </row>
    <row r="82" spans="1:8" s="59" customFormat="1" ht="35.25" customHeight="1" x14ac:dyDescent="0.25">
      <c r="A82" s="1054" t="s">
        <v>502</v>
      </c>
      <c r="B82" s="1055"/>
      <c r="C82" s="1055"/>
      <c r="D82" s="1056"/>
      <c r="E82" s="206"/>
    </row>
    <row r="83" spans="1:8" s="59" customFormat="1" ht="42" customHeight="1" x14ac:dyDescent="0.25">
      <c r="A83" s="1057" t="s">
        <v>217</v>
      </c>
      <c r="B83" s="1059"/>
      <c r="C83" s="78" t="s">
        <v>503</v>
      </c>
      <c r="D83" s="78" t="s">
        <v>498</v>
      </c>
      <c r="E83" s="206"/>
    </row>
    <row r="84" spans="1:8" s="59" customFormat="1" ht="35.25" customHeight="1" x14ac:dyDescent="0.25">
      <c r="A84" s="1054" t="s">
        <v>218</v>
      </c>
      <c r="B84" s="1056"/>
      <c r="C84" s="289" t="s">
        <v>219</v>
      </c>
      <c r="D84" s="516">
        <v>3.2000000000000001E-2</v>
      </c>
      <c r="E84" s="206"/>
      <c r="H84" s="59">
        <f>50%*2522.52*3/91.25</f>
        <v>41.466082191780821</v>
      </c>
    </row>
    <row r="85" spans="1:8" s="59" customFormat="1" ht="35.25" customHeight="1" x14ac:dyDescent="0.25">
      <c r="A85" s="1054" t="s">
        <v>220</v>
      </c>
      <c r="B85" s="1056"/>
      <c r="C85" s="289" t="s">
        <v>219</v>
      </c>
      <c r="D85" s="516">
        <v>3.2000000000000001E-2</v>
      </c>
      <c r="E85" s="206"/>
    </row>
    <row r="86" spans="1:8" ht="47.25" customHeight="1" x14ac:dyDescent="0.25">
      <c r="A86" s="1049" t="s">
        <v>221</v>
      </c>
      <c r="B86" s="1049"/>
      <c r="C86" s="289" t="s">
        <v>499</v>
      </c>
      <c r="D86" s="289" t="s">
        <v>499</v>
      </c>
    </row>
    <row r="87" spans="1:8" ht="35.25" customHeight="1" x14ac:dyDescent="0.25">
      <c r="A87" s="1222"/>
      <c r="B87" s="1222"/>
      <c r="C87" s="517"/>
    </row>
    <row r="88" spans="1:8" ht="35.25" customHeight="1" x14ac:dyDescent="0.25">
      <c r="A88" t="s">
        <v>222</v>
      </c>
    </row>
    <row r="89" spans="1:8" ht="35.25" customHeight="1" x14ac:dyDescent="0.25">
      <c r="A89" s="59" t="s">
        <v>223</v>
      </c>
    </row>
    <row r="90" spans="1:8" ht="35.25" customHeight="1" x14ac:dyDescent="0.25">
      <c r="B90" s="59"/>
      <c r="C90" s="285"/>
    </row>
  </sheetData>
  <mergeCells count="72">
    <mergeCell ref="A1:B1"/>
    <mergeCell ref="A2:B2"/>
    <mergeCell ref="A3:B3"/>
    <mergeCell ref="A4:B4"/>
    <mergeCell ref="A5:B5"/>
    <mergeCell ref="A43:D43"/>
    <mergeCell ref="A18:B18"/>
    <mergeCell ref="A19:B19"/>
    <mergeCell ref="A20:B20"/>
    <mergeCell ref="E5:E6"/>
    <mergeCell ref="A6:B6"/>
    <mergeCell ref="A7:D7"/>
    <mergeCell ref="A13:B13"/>
    <mergeCell ref="A14:B14"/>
    <mergeCell ref="A15:B15"/>
    <mergeCell ref="A16:D16"/>
    <mergeCell ref="A17:B17"/>
    <mergeCell ref="A42:B42"/>
    <mergeCell ref="A21:B21"/>
    <mergeCell ref="A22:B22"/>
    <mergeCell ref="A23:B23"/>
    <mergeCell ref="A24:B24"/>
    <mergeCell ref="A33:B33"/>
    <mergeCell ref="A34:B34"/>
    <mergeCell ref="A35:B35"/>
    <mergeCell ref="A36:B36"/>
    <mergeCell ref="A37:B37"/>
    <mergeCell ref="A32:B32"/>
    <mergeCell ref="A62:D62"/>
    <mergeCell ref="A85:B85"/>
    <mergeCell ref="A86:B86"/>
    <mergeCell ref="A83:B83"/>
    <mergeCell ref="A84:B84"/>
    <mergeCell ref="A64:B64"/>
    <mergeCell ref="A63:B63"/>
    <mergeCell ref="A46:B46"/>
    <mergeCell ref="A55:B55"/>
    <mergeCell ref="A61:B61"/>
    <mergeCell ref="A53:B53"/>
    <mergeCell ref="A52:B52"/>
    <mergeCell ref="A51:B51"/>
    <mergeCell ref="A48:B48"/>
    <mergeCell ref="A49:B49"/>
    <mergeCell ref="A50:D50"/>
    <mergeCell ref="A47:B47"/>
    <mergeCell ref="A60:B60"/>
    <mergeCell ref="A56:B56"/>
    <mergeCell ref="A58:B58"/>
    <mergeCell ref="A59:B59"/>
    <mergeCell ref="A44:B44"/>
    <mergeCell ref="A45:B45"/>
    <mergeCell ref="A9:B9"/>
    <mergeCell ref="A8:B8"/>
    <mergeCell ref="A41:B41"/>
    <mergeCell ref="A40:B40"/>
    <mergeCell ref="A39:B39"/>
    <mergeCell ref="A12:B12"/>
    <mergeCell ref="A11:B11"/>
    <mergeCell ref="A10:B10"/>
    <mergeCell ref="A26:B26"/>
    <mergeCell ref="A27:B27"/>
    <mergeCell ref="A28:B28"/>
    <mergeCell ref="A29:B29"/>
    <mergeCell ref="A30:B30"/>
    <mergeCell ref="A38:B38"/>
    <mergeCell ref="A87:B87"/>
    <mergeCell ref="A65:B65"/>
    <mergeCell ref="A66:B66"/>
    <mergeCell ref="B68:C68"/>
    <mergeCell ref="D68:E68"/>
    <mergeCell ref="A82:D82"/>
    <mergeCell ref="A67:B67"/>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zoomScale="74" workbookViewId="0">
      <selection activeCell="H12" sqref="H12"/>
    </sheetView>
  </sheetViews>
  <sheetFormatPr baseColWidth="10" defaultColWidth="11.42578125" defaultRowHeight="15.75" x14ac:dyDescent="0.25"/>
  <cols>
    <col min="1" max="1" width="3.28515625" style="188" customWidth="1"/>
    <col min="2" max="3" width="25.7109375" style="188" customWidth="1"/>
    <col min="4" max="4" width="11.42578125" style="188"/>
    <col min="5" max="5" width="11.85546875" style="189" bestFit="1" customWidth="1"/>
    <col min="6" max="6" width="17.85546875" style="188" bestFit="1" customWidth="1"/>
    <col min="7" max="7" width="18.85546875" style="188" bestFit="1" customWidth="1"/>
    <col min="8" max="16384" width="11.42578125" style="188"/>
  </cols>
  <sheetData>
    <row r="1" spans="2:11" ht="20.25" customHeight="1" x14ac:dyDescent="0.25">
      <c r="B1" s="1232" t="s">
        <v>517</v>
      </c>
      <c r="C1" s="1232"/>
      <c r="D1" s="1232"/>
      <c r="E1" s="1232"/>
      <c r="F1" s="1232"/>
      <c r="G1" s="1232"/>
      <c r="H1" s="1232"/>
    </row>
    <row r="2" spans="2:11" ht="14.25" customHeight="1" x14ac:dyDescent="0.25"/>
    <row r="3" spans="2:11" ht="14.25" customHeight="1" x14ac:dyDescent="0.25">
      <c r="B3" s="188" t="s">
        <v>205</v>
      </c>
    </row>
    <row r="4" spans="2:11" ht="14.25" customHeight="1" x14ac:dyDescent="0.25"/>
    <row r="5" spans="2:11" ht="14.25" customHeight="1" x14ac:dyDescent="0.25"/>
    <row r="6" spans="2:11" ht="14.25" customHeight="1" x14ac:dyDescent="0.25">
      <c r="B6" s="39" t="s">
        <v>106</v>
      </c>
      <c r="C6" s="39" t="s">
        <v>107</v>
      </c>
      <c r="D6" s="39" t="s">
        <v>108</v>
      </c>
      <c r="E6" s="39"/>
      <c r="G6" s="188" t="s">
        <v>1011</v>
      </c>
      <c r="J6" s="797">
        <v>45778</v>
      </c>
      <c r="K6" s="191"/>
    </row>
    <row r="7" spans="2:11" ht="14.25" customHeight="1" x14ac:dyDescent="0.25">
      <c r="B7" s="507">
        <v>0</v>
      </c>
      <c r="C7" s="507">
        <f>IF('BP FORMAT JUILLET 2023'!$H$10&lt;'TAUX NEUTRE '!$J$6,'TAUX NEUTRE JANVIER '!C7,'TAUX NEUTRE MAI'!B7)</f>
        <v>1620</v>
      </c>
      <c r="D7" s="507">
        <v>0</v>
      </c>
      <c r="E7" s="508">
        <f t="shared" ref="E7:E26" si="0" xml:space="preserve"> IF($H$11&gt;=B7,IF($H$11&lt;C7,D7,0),0)</f>
        <v>0</v>
      </c>
      <c r="G7" s="188" t="s">
        <v>1012</v>
      </c>
    </row>
    <row r="8" spans="2:11" ht="14.25" customHeight="1" x14ac:dyDescent="0.25">
      <c r="B8" s="507">
        <f>C7</f>
        <v>1620</v>
      </c>
      <c r="C8" s="507">
        <f>IF('BP FORMAT JUILLET 2023'!$H$10&lt;'TAUX NEUTRE '!$J$6,'TAUX NEUTRE JANVIER '!C8,'TAUX NEUTRE MAI'!B8)</f>
        <v>1683</v>
      </c>
      <c r="D8" s="426">
        <v>5.0000000000000001E-3</v>
      </c>
      <c r="E8" s="426">
        <f t="shared" si="0"/>
        <v>0</v>
      </c>
      <c r="G8" s="188" t="s">
        <v>1013</v>
      </c>
    </row>
    <row r="9" spans="2:11" ht="14.25" customHeight="1" x14ac:dyDescent="0.25">
      <c r="B9" s="507">
        <f t="shared" ref="B9:B26" si="1">C8</f>
        <v>1683</v>
      </c>
      <c r="C9" s="507">
        <f>IF('BP FORMAT JUILLET 2023'!$H$10&lt;'TAUX NEUTRE '!$J$6,'TAUX NEUTRE JANVIER '!C9,'TAUX NEUTRE MAI'!B9)</f>
        <v>1791</v>
      </c>
      <c r="D9" s="426">
        <v>1.2999999999999999E-2</v>
      </c>
      <c r="E9" s="426">
        <f t="shared" si="0"/>
        <v>1.2999999999999999E-2</v>
      </c>
    </row>
    <row r="10" spans="2:11" ht="14.25" customHeight="1" x14ac:dyDescent="0.25">
      <c r="B10" s="507">
        <f t="shared" si="1"/>
        <v>1791</v>
      </c>
      <c r="C10" s="507">
        <f>IF('BP FORMAT JUILLET 2023'!$H$10&lt;'TAUX NEUTRE '!$J$6,'TAUX NEUTRE JANVIER '!C10,'TAUX NEUTRE MAI'!B10)</f>
        <v>1911</v>
      </c>
      <c r="D10" s="426">
        <v>2.1000000000000001E-2</v>
      </c>
      <c r="E10" s="426">
        <f t="shared" si="0"/>
        <v>0</v>
      </c>
      <c r="G10" s="1136" t="s">
        <v>206</v>
      </c>
      <c r="H10" s="1136"/>
    </row>
    <row r="11" spans="2:11" ht="14.25" customHeight="1" x14ac:dyDescent="0.25">
      <c r="B11" s="507">
        <f t="shared" si="1"/>
        <v>1911</v>
      </c>
      <c r="C11" s="507">
        <f>IF('BP FORMAT JUILLET 2023'!$H$10&lt;'TAUX NEUTRE '!$J$6,'TAUX NEUTRE JANVIER '!C11,'TAUX NEUTRE MAI'!B11)</f>
        <v>2042</v>
      </c>
      <c r="D11" s="426">
        <v>2.9000000000000001E-2</v>
      </c>
      <c r="E11" s="426">
        <f t="shared" si="0"/>
        <v>0</v>
      </c>
      <c r="G11" s="196" t="s">
        <v>104</v>
      </c>
      <c r="H11" s="197">
        <f>'BP FORMAT JUILLET 2023'!D91</f>
        <v>1738.1899999999996</v>
      </c>
    </row>
    <row r="12" spans="2:11" ht="14.25" customHeight="1" x14ac:dyDescent="0.25">
      <c r="B12" s="507">
        <f t="shared" si="1"/>
        <v>2042</v>
      </c>
      <c r="C12" s="507">
        <f>IF('BP FORMAT JUILLET 2023'!$H$10&lt;'TAUX NEUTRE '!$J$6,'TAUX NEUTRE JANVIER '!C12,'TAUX NEUTRE MAI'!B12)</f>
        <v>2151</v>
      </c>
      <c r="D12" s="426">
        <v>3.5000000000000003E-2</v>
      </c>
      <c r="E12" s="426">
        <f t="shared" si="0"/>
        <v>0</v>
      </c>
      <c r="G12" s="196" t="s">
        <v>105</v>
      </c>
      <c r="H12" s="198">
        <f>E27</f>
        <v>1.2999999999999999E-2</v>
      </c>
    </row>
    <row r="13" spans="2:11" ht="14.25" customHeight="1" x14ac:dyDescent="0.25">
      <c r="B13" s="507">
        <f t="shared" si="1"/>
        <v>2151</v>
      </c>
      <c r="C13" s="507">
        <f>IF('BP FORMAT JUILLET 2023'!$H$10&lt;'TAUX NEUTRE '!$J$6,'TAUX NEUTRE JANVIER '!C13,'TAUX NEUTRE MAI'!B13)</f>
        <v>2294</v>
      </c>
      <c r="D13" s="426">
        <v>4.1000000000000002E-2</v>
      </c>
      <c r="E13" s="426">
        <f t="shared" si="0"/>
        <v>0</v>
      </c>
    </row>
    <row r="14" spans="2:11" ht="14.25" customHeight="1" x14ac:dyDescent="0.25">
      <c r="B14" s="507">
        <f t="shared" si="1"/>
        <v>2294</v>
      </c>
      <c r="C14" s="507">
        <f>IF('BP FORMAT JUILLET 2023'!$H$10&lt;'TAUX NEUTRE '!$J$6,'TAUX NEUTRE JANVIER '!C14,'TAUX NEUTRE MAI'!B14)</f>
        <v>2714</v>
      </c>
      <c r="D14" s="426">
        <v>5.2999999999999999E-2</v>
      </c>
      <c r="E14" s="426">
        <f t="shared" si="0"/>
        <v>0</v>
      </c>
    </row>
    <row r="15" spans="2:11" ht="14.25" customHeight="1" x14ac:dyDescent="0.25">
      <c r="B15" s="507">
        <f t="shared" si="1"/>
        <v>2714</v>
      </c>
      <c r="C15" s="507">
        <f>IF('BP FORMAT JUILLET 2023'!$H$10&lt;'TAUX NEUTRE '!$J$6,'TAUX NEUTRE JANVIER '!C15,'TAUX NEUTRE MAI'!B15)</f>
        <v>3107</v>
      </c>
      <c r="D15" s="426">
        <v>7.4999999999999997E-2</v>
      </c>
      <c r="E15" s="426">
        <f t="shared" si="0"/>
        <v>0</v>
      </c>
    </row>
    <row r="16" spans="2:11" ht="14.25" customHeight="1" x14ac:dyDescent="0.25">
      <c r="B16" s="507">
        <f t="shared" si="1"/>
        <v>3107</v>
      </c>
      <c r="C16" s="507">
        <f>IF('BP FORMAT JUILLET 2023'!$H$10&lt;'TAUX NEUTRE '!$J$6,'TAUX NEUTRE JANVIER '!C16,'TAUX NEUTRE MAI'!B16)</f>
        <v>3539</v>
      </c>
      <c r="D16" s="426">
        <v>9.9000000000000005E-2</v>
      </c>
      <c r="E16" s="426">
        <f t="shared" si="0"/>
        <v>0</v>
      </c>
    </row>
    <row r="17" spans="2:11" ht="14.25" customHeight="1" x14ac:dyDescent="0.25">
      <c r="B17" s="507">
        <f t="shared" si="1"/>
        <v>3539</v>
      </c>
      <c r="C17" s="507">
        <f>IF('BP FORMAT JUILLET 2023'!$H$10&lt;'TAUX NEUTRE '!$J$6,'TAUX NEUTRE JANVIER '!C17,'TAUX NEUTRE MAI'!B17)</f>
        <v>3983</v>
      </c>
      <c r="D17" s="426">
        <v>0.11899999999999999</v>
      </c>
      <c r="E17" s="426">
        <f t="shared" si="0"/>
        <v>0</v>
      </c>
    </row>
    <row r="18" spans="2:11" ht="14.25" customHeight="1" x14ac:dyDescent="0.25">
      <c r="B18" s="507">
        <f t="shared" si="1"/>
        <v>3983</v>
      </c>
      <c r="C18" s="507">
        <f>IF('BP FORMAT JUILLET 2023'!$H$10&lt;'TAUX NEUTRE '!$J$6,'TAUX NEUTRE JANVIER '!C18,'TAUX NEUTRE MAI'!B18)</f>
        <v>4648</v>
      </c>
      <c r="D18" s="426">
        <v>0.13800000000000001</v>
      </c>
      <c r="E18" s="426">
        <f t="shared" si="0"/>
        <v>0</v>
      </c>
    </row>
    <row r="19" spans="2:11" ht="14.25" customHeight="1" x14ac:dyDescent="0.25">
      <c r="B19" s="507">
        <f t="shared" si="1"/>
        <v>4648</v>
      </c>
      <c r="C19" s="507">
        <f>IF('BP FORMAT JUILLET 2023'!$H$10&lt;'TAUX NEUTRE '!$J$6,'TAUX NEUTRE JANVIER '!C19,'TAUX NEUTRE MAI'!B19)</f>
        <v>5574</v>
      </c>
      <c r="D19" s="426">
        <v>0.158</v>
      </c>
      <c r="E19" s="426">
        <f t="shared" si="0"/>
        <v>0</v>
      </c>
    </row>
    <row r="20" spans="2:11" ht="14.25" customHeight="1" x14ac:dyDescent="0.25">
      <c r="B20" s="507">
        <f t="shared" si="1"/>
        <v>5574</v>
      </c>
      <c r="C20" s="507">
        <f>IF('BP FORMAT JUILLET 2023'!$H$10&lt;'TAUX NEUTRE '!$J$6,'TAUX NEUTRE JANVIER '!C20,'TAUX NEUTRE MAI'!B20)</f>
        <v>6974</v>
      </c>
      <c r="D20" s="426">
        <v>0.17899999999999999</v>
      </c>
      <c r="E20" s="426">
        <f t="shared" si="0"/>
        <v>0</v>
      </c>
    </row>
    <row r="21" spans="2:11" ht="14.25" customHeight="1" x14ac:dyDescent="0.25">
      <c r="B21" s="507">
        <f t="shared" si="1"/>
        <v>6974</v>
      </c>
      <c r="C21" s="507">
        <f>IF('BP FORMAT JUILLET 2023'!$H$10&lt;'TAUX NEUTRE '!$J$6,'TAUX NEUTRE JANVIER '!C21,'TAUX NEUTRE MAI'!B21)</f>
        <v>8711</v>
      </c>
      <c r="D21" s="426">
        <v>0.2</v>
      </c>
      <c r="E21" s="426">
        <f t="shared" si="0"/>
        <v>0</v>
      </c>
    </row>
    <row r="22" spans="2:11" ht="14.25" customHeight="1" x14ac:dyDescent="0.25">
      <c r="B22" s="507">
        <f t="shared" si="1"/>
        <v>8711</v>
      </c>
      <c r="C22" s="507">
        <f>IF('BP FORMAT JUILLET 2023'!$H$10&lt;'TAUX NEUTRE '!$J$6,'TAUX NEUTRE JANVIER '!C22,'TAUX NEUTRE MAI'!B22)</f>
        <v>12091</v>
      </c>
      <c r="D22" s="426">
        <v>0.24</v>
      </c>
      <c r="E22" s="426">
        <f t="shared" si="0"/>
        <v>0</v>
      </c>
    </row>
    <row r="23" spans="2:11" ht="14.25" customHeight="1" x14ac:dyDescent="0.25">
      <c r="B23" s="507">
        <f t="shared" si="1"/>
        <v>12091</v>
      </c>
      <c r="C23" s="507">
        <f>IF('BP FORMAT JUILLET 2023'!$H$10&lt;'TAUX NEUTRE '!$J$6,'TAUX NEUTRE JANVIER '!C23,'TAUX NEUTRE MAI'!B23)</f>
        <v>16376</v>
      </c>
      <c r="D23" s="426">
        <v>0.28000000000000003</v>
      </c>
      <c r="E23" s="426">
        <f t="shared" si="0"/>
        <v>0</v>
      </c>
    </row>
    <row r="24" spans="2:11" ht="14.25" customHeight="1" x14ac:dyDescent="0.25">
      <c r="B24" s="507">
        <f t="shared" si="1"/>
        <v>16376</v>
      </c>
      <c r="C24" s="507">
        <f>IF('BP FORMAT JUILLET 2023'!$H$10&lt;'TAUX NEUTRE '!$J$6,'TAUX NEUTRE JANVIER '!C24,'TAUX NEUTRE MAI'!B24)</f>
        <v>25706</v>
      </c>
      <c r="D24" s="426">
        <v>0.33</v>
      </c>
      <c r="E24" s="426">
        <f t="shared" si="0"/>
        <v>0</v>
      </c>
    </row>
    <row r="25" spans="2:11" ht="14.25" customHeight="1" x14ac:dyDescent="0.25">
      <c r="B25" s="507">
        <f t="shared" si="1"/>
        <v>25706</v>
      </c>
      <c r="C25" s="507">
        <f>IF('BP FORMAT JUILLET 2023'!$H$10&lt;'TAUX NEUTRE '!$J$6,'TAUX NEUTRE JANVIER '!C25,'TAUX NEUTRE MAI'!B25)</f>
        <v>55062</v>
      </c>
      <c r="D25" s="426">
        <v>0.38</v>
      </c>
      <c r="E25" s="426">
        <f t="shared" si="0"/>
        <v>0</v>
      </c>
    </row>
    <row r="26" spans="2:11" ht="14.25" customHeight="1" x14ac:dyDescent="0.25">
      <c r="B26" s="507">
        <f t="shared" si="1"/>
        <v>55062</v>
      </c>
      <c r="C26" s="507">
        <f>IF('BP FORMAT JUILLET 2023'!$H$10&lt;'TAUX NEUTRE '!$J$6,'TAUX NEUTRE JANVIER '!C26,'TAUX NEUTRE MAI'!B26)</f>
        <v>0</v>
      </c>
      <c r="D26" s="426">
        <v>0.43</v>
      </c>
      <c r="E26" s="426">
        <f t="shared" si="0"/>
        <v>0</v>
      </c>
    </row>
    <row r="27" spans="2:11" ht="14.25" customHeight="1" x14ac:dyDescent="0.25">
      <c r="B27" s="190"/>
      <c r="E27" s="195">
        <f>SUM(E7:E26)</f>
        <v>1.2999999999999999E-2</v>
      </c>
    </row>
    <row r="28" spans="2:11" ht="18" customHeight="1" x14ac:dyDescent="0.25"/>
    <row r="29" spans="2:11" ht="14.25" hidden="1" customHeight="1" x14ac:dyDescent="0.25">
      <c r="J29" s="1217"/>
      <c r="K29" s="1217"/>
    </row>
    <row r="30" spans="2:11" ht="14.25" hidden="1" customHeight="1" x14ac:dyDescent="0.25">
      <c r="B30" s="39" t="s">
        <v>106</v>
      </c>
      <c r="C30" s="39" t="s">
        <v>107</v>
      </c>
      <c r="D30" s="39" t="s">
        <v>108</v>
      </c>
      <c r="E30" s="39"/>
      <c r="K30" s="200"/>
    </row>
    <row r="31" spans="2:11" ht="14.25" hidden="1" customHeight="1" x14ac:dyDescent="0.25">
      <c r="B31" s="192">
        <v>0</v>
      </c>
      <c r="C31" s="192">
        <v>1440</v>
      </c>
      <c r="D31" s="192">
        <v>0</v>
      </c>
      <c r="E31" s="193">
        <f t="shared" ref="E31:E50" si="2" xml:space="preserve"> IF($G$34&gt;=B31,IF($G$34&lt;C31,D31,0),0)</f>
        <v>0</v>
      </c>
      <c r="K31" s="201"/>
    </row>
    <row r="32" spans="2:11" ht="14.25" hidden="1" customHeight="1" x14ac:dyDescent="0.25">
      <c r="B32" s="192">
        <f>C31</f>
        <v>1440</v>
      </c>
      <c r="C32" s="192">
        <v>1496</v>
      </c>
      <c r="D32" s="194">
        <v>5.0000000000000001E-3</v>
      </c>
      <c r="E32" s="195">
        <f t="shared" si="2"/>
        <v>0</v>
      </c>
      <c r="F32" s="202"/>
    </row>
    <row r="33" spans="2:7" ht="14.25" hidden="1" customHeight="1" x14ac:dyDescent="0.25">
      <c r="B33" s="192">
        <f t="shared" ref="B33:B50" si="3">C32</f>
        <v>1496</v>
      </c>
      <c r="C33" s="192">
        <v>1592</v>
      </c>
      <c r="D33" s="194">
        <v>1.2999999999999999E-2</v>
      </c>
      <c r="E33" s="195">
        <f t="shared" si="2"/>
        <v>0</v>
      </c>
      <c r="F33" s="202"/>
      <c r="G33" s="196" t="s">
        <v>207</v>
      </c>
    </row>
    <row r="34" spans="2:7" ht="14.25" hidden="1" customHeight="1" x14ac:dyDescent="0.25">
      <c r="B34" s="192">
        <f t="shared" si="3"/>
        <v>1592</v>
      </c>
      <c r="C34" s="192">
        <v>1699</v>
      </c>
      <c r="D34" s="195">
        <v>2.1000000000000001E-2</v>
      </c>
      <c r="E34" s="195">
        <f t="shared" si="2"/>
        <v>0</v>
      </c>
      <c r="F34" s="202"/>
      <c r="G34" s="197"/>
    </row>
    <row r="35" spans="2:7" ht="14.25" hidden="1" customHeight="1" x14ac:dyDescent="0.25">
      <c r="B35" s="192">
        <f t="shared" si="3"/>
        <v>1699</v>
      </c>
      <c r="C35" s="192">
        <v>1816</v>
      </c>
      <c r="D35" s="195">
        <v>2.9000000000000001E-2</v>
      </c>
      <c r="E35" s="195">
        <f t="shared" si="2"/>
        <v>0</v>
      </c>
      <c r="F35" s="202"/>
      <c r="G35" s="198"/>
    </row>
    <row r="36" spans="2:7" ht="14.25" hidden="1" customHeight="1" x14ac:dyDescent="0.25">
      <c r="B36" s="192">
        <f t="shared" si="3"/>
        <v>1816</v>
      </c>
      <c r="C36" s="192">
        <v>1913</v>
      </c>
      <c r="D36" s="195">
        <v>3.5000000000000003E-2</v>
      </c>
      <c r="E36" s="195">
        <f t="shared" si="2"/>
        <v>0</v>
      </c>
      <c r="F36" s="202"/>
    </row>
    <row r="37" spans="2:7" ht="14.25" hidden="1" customHeight="1" x14ac:dyDescent="0.25">
      <c r="B37" s="192">
        <f t="shared" si="3"/>
        <v>1913</v>
      </c>
      <c r="C37" s="192">
        <v>2040</v>
      </c>
      <c r="D37" s="195">
        <v>4.1000000000000002E-2</v>
      </c>
      <c r="E37" s="195">
        <f t="shared" si="2"/>
        <v>0</v>
      </c>
      <c r="F37" s="202"/>
    </row>
    <row r="38" spans="2:7" ht="14.25" hidden="1" customHeight="1" x14ac:dyDescent="0.25">
      <c r="B38" s="192">
        <f t="shared" si="3"/>
        <v>2040</v>
      </c>
      <c r="C38" s="192">
        <v>2414</v>
      </c>
      <c r="D38" s="195">
        <v>5.2999999999999999E-2</v>
      </c>
      <c r="E38" s="195">
        <f t="shared" si="2"/>
        <v>0</v>
      </c>
      <c r="F38" s="202"/>
    </row>
    <row r="39" spans="2:7" ht="14.25" hidden="1" customHeight="1" x14ac:dyDescent="0.25">
      <c r="B39" s="192">
        <f t="shared" si="3"/>
        <v>2414</v>
      </c>
      <c r="C39" s="192">
        <v>2763</v>
      </c>
      <c r="D39" s="195">
        <v>7.4999999999999997E-2</v>
      </c>
      <c r="E39" s="195">
        <f t="shared" si="2"/>
        <v>0</v>
      </c>
      <c r="F39" s="202"/>
    </row>
    <row r="40" spans="2:7" ht="14.25" hidden="1" customHeight="1" x14ac:dyDescent="0.25">
      <c r="B40" s="192">
        <f t="shared" si="3"/>
        <v>2763</v>
      </c>
      <c r="C40" s="192">
        <v>3147</v>
      </c>
      <c r="D40" s="195">
        <v>9.9000000000000005E-2</v>
      </c>
      <c r="E40" s="195">
        <f t="shared" si="2"/>
        <v>0</v>
      </c>
      <c r="F40" s="202"/>
    </row>
    <row r="41" spans="2:7" ht="14.25" hidden="1" customHeight="1" x14ac:dyDescent="0.25">
      <c r="B41" s="192">
        <f t="shared" si="3"/>
        <v>3147</v>
      </c>
      <c r="C41" s="192">
        <v>3543</v>
      </c>
      <c r="D41" s="195">
        <v>0.11899999999999999</v>
      </c>
      <c r="E41" s="195">
        <f t="shared" si="2"/>
        <v>0</v>
      </c>
      <c r="F41" s="202"/>
    </row>
    <row r="42" spans="2:7" ht="14.25" hidden="1" customHeight="1" x14ac:dyDescent="0.25">
      <c r="B42" s="192">
        <f t="shared" si="3"/>
        <v>3543</v>
      </c>
      <c r="C42" s="192">
        <v>4134</v>
      </c>
      <c r="D42" s="195">
        <v>0.13800000000000001</v>
      </c>
      <c r="E42" s="195">
        <f t="shared" si="2"/>
        <v>0</v>
      </c>
      <c r="F42" s="202"/>
    </row>
    <row r="43" spans="2:7" ht="14.25" hidden="1" customHeight="1" x14ac:dyDescent="0.25">
      <c r="B43" s="192">
        <f t="shared" si="3"/>
        <v>4134</v>
      </c>
      <c r="C43" s="192">
        <v>4956</v>
      </c>
      <c r="D43" s="195">
        <v>0.158</v>
      </c>
      <c r="E43" s="195">
        <f t="shared" si="2"/>
        <v>0</v>
      </c>
      <c r="F43" s="202"/>
    </row>
    <row r="44" spans="2:7" ht="14.25" hidden="1" customHeight="1" x14ac:dyDescent="0.25">
      <c r="B44" s="192">
        <f t="shared" si="3"/>
        <v>4956</v>
      </c>
      <c r="C44" s="192">
        <v>6202</v>
      </c>
      <c r="D44" s="195">
        <v>0.17899999999999999</v>
      </c>
      <c r="E44" s="195">
        <f t="shared" si="2"/>
        <v>0</v>
      </c>
      <c r="F44" s="202"/>
    </row>
    <row r="45" spans="2:7" ht="14.25" hidden="1" customHeight="1" x14ac:dyDescent="0.25">
      <c r="B45" s="192">
        <f t="shared" si="3"/>
        <v>6202</v>
      </c>
      <c r="C45" s="192">
        <v>7747</v>
      </c>
      <c r="D45" s="195">
        <v>0.2</v>
      </c>
      <c r="E45" s="195">
        <f t="shared" si="2"/>
        <v>0</v>
      </c>
      <c r="F45" s="202"/>
    </row>
    <row r="46" spans="2:7" ht="14.25" hidden="1" customHeight="1" x14ac:dyDescent="0.25">
      <c r="B46" s="192">
        <f t="shared" si="3"/>
        <v>7747</v>
      </c>
      <c r="C46" s="192">
        <v>10752</v>
      </c>
      <c r="D46" s="195">
        <v>0.24</v>
      </c>
      <c r="E46" s="195">
        <f t="shared" si="2"/>
        <v>0</v>
      </c>
      <c r="F46" s="202"/>
    </row>
    <row r="47" spans="2:7" ht="14.25" hidden="1" customHeight="1" x14ac:dyDescent="0.25">
      <c r="B47" s="192">
        <f t="shared" si="3"/>
        <v>10752</v>
      </c>
      <c r="C47" s="192">
        <v>14563</v>
      </c>
      <c r="D47" s="195">
        <v>0.28000000000000003</v>
      </c>
      <c r="E47" s="195">
        <f t="shared" si="2"/>
        <v>0</v>
      </c>
      <c r="F47" s="202"/>
    </row>
    <row r="48" spans="2:7" ht="14.25" hidden="1" customHeight="1" x14ac:dyDescent="0.25">
      <c r="B48" s="192">
        <f t="shared" si="3"/>
        <v>14563</v>
      </c>
      <c r="C48" s="192">
        <v>22860</v>
      </c>
      <c r="D48" s="195">
        <v>0.33</v>
      </c>
      <c r="E48" s="195">
        <f t="shared" si="2"/>
        <v>0</v>
      </c>
      <c r="F48" s="202"/>
    </row>
    <row r="49" spans="2:6" ht="14.25" hidden="1" customHeight="1" x14ac:dyDescent="0.25">
      <c r="B49" s="192">
        <f t="shared" si="3"/>
        <v>22860</v>
      </c>
      <c r="C49" s="192">
        <v>48967</v>
      </c>
      <c r="D49" s="195">
        <v>0.38</v>
      </c>
      <c r="E49" s="195">
        <f t="shared" si="2"/>
        <v>0</v>
      </c>
      <c r="F49" s="202"/>
    </row>
    <row r="50" spans="2:6" ht="14.25" hidden="1" customHeight="1" x14ac:dyDescent="0.25">
      <c r="B50" s="192">
        <f t="shared" si="3"/>
        <v>48967</v>
      </c>
      <c r="C50" s="199">
        <v>99999999999</v>
      </c>
      <c r="D50" s="195">
        <v>0.43</v>
      </c>
      <c r="E50" s="195">
        <f t="shared" si="2"/>
        <v>0</v>
      </c>
      <c r="F50" s="202"/>
    </row>
    <row r="51" spans="2:6" ht="14.25" hidden="1" customHeight="1" x14ac:dyDescent="0.25">
      <c r="B51" s="190"/>
      <c r="E51" s="195">
        <f>SUM(E31:E50)</f>
        <v>0</v>
      </c>
      <c r="F51" s="203"/>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58"/>
  <sheetViews>
    <sheetView topLeftCell="A7" workbookViewId="0">
      <selection activeCell="H10" sqref="H10"/>
    </sheetView>
  </sheetViews>
  <sheetFormatPr baseColWidth="10" defaultRowHeight="15" x14ac:dyDescent="0.25"/>
  <cols>
    <col min="1" max="1" width="4.7109375" style="109"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868" t="s">
        <v>504</v>
      </c>
      <c r="C1" s="868"/>
      <c r="D1" s="868"/>
      <c r="E1" s="868"/>
      <c r="F1" s="868"/>
      <c r="G1" s="868"/>
    </row>
    <row r="2" spans="1:11" ht="26.45" customHeight="1" x14ac:dyDescent="0.25">
      <c r="B2" s="869"/>
      <c r="C2" s="869"/>
      <c r="D2" s="869"/>
      <c r="E2" s="869"/>
      <c r="F2" s="869"/>
      <c r="G2" s="869"/>
    </row>
    <row r="3" spans="1:11" ht="23.25" customHeight="1" x14ac:dyDescent="0.25">
      <c r="B3" s="864" t="s">
        <v>505</v>
      </c>
      <c r="C3" s="864"/>
      <c r="D3" s="870" t="s">
        <v>506</v>
      </c>
      <c r="E3" s="870"/>
      <c r="F3" s="870"/>
      <c r="G3" s="870"/>
    </row>
    <row r="4" spans="1:11" ht="26.45" customHeight="1" x14ac:dyDescent="0.25">
      <c r="B4" s="871" t="s">
        <v>408</v>
      </c>
      <c r="C4" s="872"/>
      <c r="D4" s="109"/>
      <c r="F4" s="109"/>
      <c r="G4" s="109"/>
    </row>
    <row r="5" spans="1:11" ht="38.25" x14ac:dyDescent="0.25">
      <c r="A5" s="46">
        <v>1</v>
      </c>
      <c r="B5" s="519" t="s">
        <v>518</v>
      </c>
      <c r="C5" s="454">
        <v>45748</v>
      </c>
      <c r="E5" s="864">
        <f>ROUND(1.4*11.88*151.67*3*50%/91.25,2)</f>
        <v>41.47</v>
      </c>
      <c r="F5" s="864" t="s">
        <v>507</v>
      </c>
      <c r="G5" s="864"/>
      <c r="I5" s="109"/>
      <c r="J5" s="109"/>
      <c r="K5" s="109"/>
    </row>
    <row r="6" spans="1:11" ht="41.25" customHeight="1" x14ac:dyDescent="0.25">
      <c r="A6" s="46">
        <v>2</v>
      </c>
      <c r="B6" s="453" t="s">
        <v>409</v>
      </c>
      <c r="C6" s="454">
        <v>45736</v>
      </c>
      <c r="D6" s="455"/>
      <c r="E6" s="864"/>
      <c r="F6" s="864"/>
      <c r="G6" s="864"/>
    </row>
    <row r="7" spans="1:11" ht="41.25" customHeight="1" x14ac:dyDescent="0.25">
      <c r="B7" s="453" t="s">
        <v>410</v>
      </c>
      <c r="C7" s="454">
        <v>45747</v>
      </c>
      <c r="D7" s="455"/>
      <c r="E7" s="520">
        <f>1.8*11.88*3*151.67*50%/91.25</f>
        <v>53.314705972602738</v>
      </c>
      <c r="F7" s="863" t="s">
        <v>508</v>
      </c>
      <c r="G7" s="863"/>
    </row>
    <row r="8" spans="1:11" ht="41.25" customHeight="1" x14ac:dyDescent="0.25">
      <c r="B8" s="46" t="s">
        <v>411</v>
      </c>
      <c r="C8" s="454">
        <v>45717</v>
      </c>
      <c r="D8" s="455"/>
      <c r="E8" s="455"/>
      <c r="F8" s="455"/>
      <c r="G8" s="109"/>
    </row>
    <row r="9" spans="1:11" ht="41.25" customHeight="1" x14ac:dyDescent="0.25">
      <c r="B9" s="46" t="s">
        <v>412</v>
      </c>
      <c r="C9" s="454">
        <v>45747</v>
      </c>
      <c r="D9" s="455"/>
      <c r="E9" s="455"/>
      <c r="F9" s="455"/>
      <c r="G9" s="109"/>
    </row>
    <row r="10" spans="1:11" ht="41.25" customHeight="1" x14ac:dyDescent="0.25">
      <c r="B10" s="46" t="s">
        <v>413</v>
      </c>
      <c r="C10" s="456"/>
      <c r="D10" s="455"/>
      <c r="E10" s="455"/>
      <c r="F10" s="455"/>
      <c r="G10" s="109"/>
    </row>
    <row r="11" spans="1:11" ht="39.75" customHeight="1" x14ac:dyDescent="0.25">
      <c r="B11" s="453" t="s">
        <v>414</v>
      </c>
      <c r="C11" s="46">
        <f>C7-C6+1</f>
        <v>12</v>
      </c>
      <c r="D11" s="109"/>
      <c r="E11" s="109"/>
      <c r="F11" s="109"/>
      <c r="G11" s="109"/>
    </row>
    <row r="12" spans="1:11" ht="39.75" customHeight="1" x14ac:dyDescent="0.25">
      <c r="B12" s="453" t="s">
        <v>415</v>
      </c>
      <c r="C12" s="46">
        <v>3</v>
      </c>
      <c r="D12" s="109"/>
      <c r="E12" s="109"/>
      <c r="F12" s="109"/>
      <c r="G12" s="109"/>
    </row>
    <row r="13" spans="1:11" ht="39.75" customHeight="1" x14ac:dyDescent="0.25">
      <c r="B13" s="453" t="s">
        <v>416</v>
      </c>
      <c r="C13" s="46">
        <f>C11-C12</f>
        <v>9</v>
      </c>
      <c r="D13" s="840"/>
      <c r="E13" s="859"/>
      <c r="F13" s="859"/>
      <c r="G13" s="109"/>
    </row>
    <row r="14" spans="1:11" ht="39.75" customHeight="1" x14ac:dyDescent="0.25">
      <c r="B14" s="453" t="s">
        <v>417</v>
      </c>
      <c r="C14" s="46">
        <f ca="1">SUMPRODUCT((WEEKDAY(ROW(INDIRECT(C$6&amp;":"&amp;C$7)))=7)*1)</f>
        <v>2</v>
      </c>
      <c r="D14" s="109"/>
      <c r="E14" s="109"/>
      <c r="F14" s="109"/>
      <c r="G14" s="109"/>
    </row>
    <row r="15" spans="1:11" ht="39.75" customHeight="1" x14ac:dyDescent="0.25">
      <c r="B15" s="453" t="s">
        <v>418</v>
      </c>
      <c r="C15" s="46">
        <f ca="1">C11-C14</f>
        <v>10</v>
      </c>
      <c r="D15" s="109"/>
      <c r="E15" s="109"/>
      <c r="F15" s="109"/>
      <c r="G15" s="109"/>
    </row>
    <row r="16" spans="1:11" ht="39.75" customHeight="1" x14ac:dyDescent="0.25">
      <c r="B16" s="453" t="s">
        <v>419</v>
      </c>
      <c r="C16" s="46">
        <f>NETWORKDAYS(C6,C7)</f>
        <v>8</v>
      </c>
      <c r="D16" s="109"/>
      <c r="E16" s="109"/>
      <c r="F16" s="109"/>
      <c r="G16" s="109"/>
    </row>
    <row r="17" spans="1:10" ht="23.25" customHeight="1" x14ac:dyDescent="0.25">
      <c r="B17" s="109"/>
      <c r="C17" s="109"/>
      <c r="D17" s="457"/>
      <c r="E17" s="457"/>
      <c r="F17" s="457"/>
      <c r="G17" s="457"/>
    </row>
    <row r="18" spans="1:10" ht="23.25" customHeight="1" x14ac:dyDescent="0.25">
      <c r="B18" s="46" t="s">
        <v>420</v>
      </c>
      <c r="C18" s="521">
        <f>'[2]Table des Taux 2025'!D54</f>
        <v>11.88</v>
      </c>
      <c r="D18" s="864" t="s">
        <v>509</v>
      </c>
      <c r="E18" s="864"/>
      <c r="F18" s="109"/>
      <c r="G18" s="109"/>
    </row>
    <row r="19" spans="1:10" ht="23.25" customHeight="1" x14ac:dyDescent="0.25">
      <c r="B19" s="479" t="s">
        <v>421</v>
      </c>
      <c r="C19" s="522">
        <f>'[2]Table des Taux 2025'!D53</f>
        <v>11.88</v>
      </c>
      <c r="D19" s="865" t="s">
        <v>510</v>
      </c>
      <c r="E19" s="866"/>
      <c r="F19" s="458"/>
      <c r="G19" s="458"/>
    </row>
    <row r="20" spans="1:10" x14ac:dyDescent="0.25">
      <c r="B20" s="46" t="s">
        <v>229</v>
      </c>
      <c r="C20" s="58" t="s">
        <v>269</v>
      </c>
      <c r="D20" s="58" t="s">
        <v>270</v>
      </c>
      <c r="E20" s="58" t="s">
        <v>271</v>
      </c>
      <c r="F20" s="58" t="s">
        <v>272</v>
      </c>
      <c r="G20" s="58" t="s">
        <v>511</v>
      </c>
      <c r="J20" s="523"/>
    </row>
    <row r="21" spans="1:10" ht="38.25" customHeight="1" x14ac:dyDescent="0.25">
      <c r="B21" s="867" t="s">
        <v>512</v>
      </c>
      <c r="C21" s="867"/>
      <c r="D21" s="867"/>
      <c r="E21" s="867"/>
      <c r="F21" s="867"/>
      <c r="G21" s="867"/>
      <c r="J21" s="523"/>
    </row>
    <row r="22" spans="1:10" ht="31.15" customHeight="1" x14ac:dyDescent="0.25">
      <c r="A22" s="46">
        <v>10</v>
      </c>
      <c r="B22" s="459" t="s">
        <v>422</v>
      </c>
      <c r="C22" s="460" t="s">
        <v>423</v>
      </c>
      <c r="D22" s="460" t="s">
        <v>424</v>
      </c>
      <c r="E22" s="460" t="s">
        <v>425</v>
      </c>
      <c r="F22" s="460" t="s">
        <v>426</v>
      </c>
      <c r="G22" s="460" t="s">
        <v>427</v>
      </c>
    </row>
    <row r="23" spans="1:10" ht="48.6" customHeight="1" x14ac:dyDescent="0.25">
      <c r="A23" s="46">
        <v>11</v>
      </c>
      <c r="B23" s="461" t="s">
        <v>428</v>
      </c>
      <c r="C23" s="857" t="s">
        <v>429</v>
      </c>
      <c r="D23" s="858"/>
      <c r="E23" s="462" t="s">
        <v>430</v>
      </c>
      <c r="F23" s="524" t="s">
        <v>513</v>
      </c>
      <c r="G23" s="462" t="s">
        <v>431</v>
      </c>
    </row>
    <row r="24" spans="1:10" ht="38.25" customHeight="1" x14ac:dyDescent="0.25">
      <c r="A24" s="46">
        <v>12</v>
      </c>
      <c r="B24" s="525" t="s">
        <v>432</v>
      </c>
      <c r="C24" s="463" t="s">
        <v>514</v>
      </c>
      <c r="D24" s="526" t="s">
        <v>515</v>
      </c>
      <c r="E24" s="464">
        <v>2800</v>
      </c>
      <c r="F24" s="527">
        <f>IF(C7&lt;C5,(IF(B24="202N",1.8*C18*151.67,1.8*C19*151.67)),(IF(B24="202N",1.4*C18*151.67,1.4*C18*151.67)))</f>
        <v>3243.3112799999999</v>
      </c>
      <c r="G24" s="466">
        <f>MIN(F24,E24)</f>
        <v>2800</v>
      </c>
    </row>
    <row r="25" spans="1:10" ht="38.25" customHeight="1" x14ac:dyDescent="0.25">
      <c r="A25" s="46">
        <v>13</v>
      </c>
      <c r="B25" s="525" t="s">
        <v>461</v>
      </c>
      <c r="C25" s="463" t="s">
        <v>516</v>
      </c>
      <c r="D25" s="526" t="s">
        <v>110</v>
      </c>
      <c r="E25" s="464">
        <v>2500</v>
      </c>
      <c r="F25" s="465">
        <f>F24</f>
        <v>3243.3112799999999</v>
      </c>
      <c r="G25" s="466">
        <f>MIN(F25,E25)</f>
        <v>2500</v>
      </c>
    </row>
    <row r="26" spans="1:10" ht="38.25" customHeight="1" x14ac:dyDescent="0.25">
      <c r="A26" s="46">
        <v>14</v>
      </c>
      <c r="B26" s="525" t="s">
        <v>461</v>
      </c>
      <c r="C26" s="463" t="s">
        <v>433</v>
      </c>
      <c r="D26" s="526" t="s">
        <v>132</v>
      </c>
      <c r="E26" s="464">
        <v>3300</v>
      </c>
      <c r="F26" s="465">
        <f>F25</f>
        <v>3243.3112799999999</v>
      </c>
      <c r="G26" s="466">
        <f>MIN(F26,E26)</f>
        <v>3243.3112799999999</v>
      </c>
    </row>
    <row r="27" spans="1:10" ht="38.25" customHeight="1" x14ac:dyDescent="0.25">
      <c r="B27" s="467"/>
      <c r="C27" s="467"/>
      <c r="D27" s="468"/>
      <c r="E27" s="468"/>
      <c r="F27" s="469" t="s">
        <v>97</v>
      </c>
      <c r="G27" s="464">
        <f>SUM(G24:G26)</f>
        <v>8543.3112799999999</v>
      </c>
    </row>
    <row r="28" spans="1:10" ht="38.25" customHeight="1" x14ac:dyDescent="0.25">
      <c r="B28" s="467"/>
      <c r="C28" s="467"/>
      <c r="D28" s="458"/>
      <c r="E28" s="458"/>
      <c r="F28" s="463" t="s">
        <v>434</v>
      </c>
      <c r="G28" s="464">
        <f>ROUND(G27*0.5/91.25,6)</f>
        <v>46.812665000000003</v>
      </c>
    </row>
    <row r="29" spans="1:10" ht="38.25" customHeight="1" x14ac:dyDescent="0.25">
      <c r="B29" s="467"/>
      <c r="C29" s="467"/>
      <c r="D29" s="458"/>
      <c r="E29" s="458"/>
      <c r="F29" s="470" t="s">
        <v>435</v>
      </c>
      <c r="G29" s="471">
        <f>C13</f>
        <v>9</v>
      </c>
    </row>
    <row r="30" spans="1:10" ht="38.25" customHeight="1" x14ac:dyDescent="0.25">
      <c r="B30" s="467"/>
      <c r="C30" s="467"/>
      <c r="D30" s="458"/>
      <c r="E30" s="458"/>
      <c r="F30" s="463" t="s">
        <v>436</v>
      </c>
      <c r="G30" s="464">
        <f>ROUND(G28*G29,2)</f>
        <v>421.31</v>
      </c>
    </row>
    <row r="31" spans="1:10" ht="38.25" customHeight="1" x14ac:dyDescent="0.25">
      <c r="B31" s="467"/>
      <c r="C31" s="467"/>
      <c r="D31" s="458"/>
      <c r="E31" s="458"/>
      <c r="F31" s="463" t="s">
        <v>437</v>
      </c>
      <c r="G31" s="464">
        <f>ROUND(G30*0.933,2)</f>
        <v>393.08</v>
      </c>
    </row>
    <row r="32" spans="1:10" ht="38.25" customHeight="1" x14ac:dyDescent="0.25">
      <c r="B32" s="467"/>
      <c r="C32" s="467"/>
      <c r="D32" s="458"/>
      <c r="E32" s="458"/>
      <c r="F32" s="528" t="s">
        <v>438</v>
      </c>
      <c r="G32" s="464">
        <f>G30*2.9%</f>
        <v>12.217989999999999</v>
      </c>
      <c r="H32" s="840" t="s">
        <v>439</v>
      </c>
      <c r="I32" s="859"/>
    </row>
    <row r="33" spans="2:9" ht="38.25" customHeight="1" x14ac:dyDescent="0.25">
      <c r="F33" s="528" t="s">
        <v>440</v>
      </c>
      <c r="G33" s="464">
        <f>G30*3.8%</f>
        <v>16.009779999999999</v>
      </c>
      <c r="H33" s="840"/>
      <c r="I33" s="859"/>
    </row>
    <row r="34" spans="2:9" ht="105" customHeight="1" x14ac:dyDescent="0.25"/>
    <row r="35" spans="2:9" ht="33.75" customHeight="1" x14ac:dyDescent="0.25">
      <c r="B35" s="860" t="s">
        <v>441</v>
      </c>
      <c r="C35" s="861"/>
      <c r="D35" s="861"/>
      <c r="E35" s="861"/>
      <c r="F35" s="861"/>
      <c r="G35" s="862"/>
    </row>
    <row r="36" spans="2:9" ht="33" customHeight="1" x14ac:dyDescent="0.25">
      <c r="B36" s="529" t="s">
        <v>409</v>
      </c>
      <c r="C36" s="530">
        <f>C6</f>
        <v>45736</v>
      </c>
      <c r="D36" s="473"/>
      <c r="E36" s="473"/>
      <c r="F36" s="473"/>
      <c r="G36" s="53"/>
    </row>
    <row r="37" spans="2:9" ht="33" customHeight="1" x14ac:dyDescent="0.25">
      <c r="B37" s="144" t="s">
        <v>410</v>
      </c>
      <c r="C37" s="472">
        <f>C7</f>
        <v>45747</v>
      </c>
      <c r="D37" s="473"/>
      <c r="E37" s="473"/>
      <c r="F37" s="473"/>
      <c r="G37" s="8"/>
    </row>
    <row r="38" spans="2:9" ht="33" customHeight="1" x14ac:dyDescent="0.25">
      <c r="B38" s="144" t="s">
        <v>411</v>
      </c>
      <c r="C38" s="472">
        <f>C8</f>
        <v>45717</v>
      </c>
      <c r="D38" s="455"/>
      <c r="E38" s="455"/>
      <c r="F38" s="455"/>
      <c r="G38" s="109"/>
    </row>
    <row r="39" spans="2:9" ht="33" customHeight="1" x14ac:dyDescent="0.25">
      <c r="B39" s="144" t="s">
        <v>412</v>
      </c>
      <c r="C39" s="472">
        <f>C9</f>
        <v>45747</v>
      </c>
      <c r="D39" s="455"/>
      <c r="E39" s="455"/>
      <c r="F39" s="455"/>
      <c r="G39" s="109"/>
    </row>
    <row r="40" spans="2:9" ht="33" customHeight="1" x14ac:dyDescent="0.25">
      <c r="B40" s="144" t="s">
        <v>442</v>
      </c>
      <c r="C40" s="474">
        <f>C10</f>
        <v>0</v>
      </c>
      <c r="D40" s="109"/>
      <c r="E40" s="109"/>
      <c r="F40" s="109"/>
      <c r="G40" s="109"/>
    </row>
    <row r="41" spans="2:9" ht="33.75" customHeight="1" x14ac:dyDescent="0.25">
      <c r="B41" s="475" t="s">
        <v>414</v>
      </c>
      <c r="C41" s="475">
        <f>C37-C36+1</f>
        <v>12</v>
      </c>
      <c r="D41" s="109"/>
      <c r="E41" s="109"/>
      <c r="F41" s="109"/>
      <c r="G41" s="109"/>
    </row>
    <row r="42" spans="2:9" ht="33.75" customHeight="1" x14ac:dyDescent="0.25">
      <c r="B42" s="476" t="s">
        <v>443</v>
      </c>
      <c r="C42" s="476">
        <f ca="1">SUMPRODUCT((WEEKDAY(ROW(INDIRECT(C$36&amp;":"&amp;C$37)))=7)*1)</f>
        <v>2</v>
      </c>
      <c r="D42" s="109"/>
      <c r="E42" s="109"/>
      <c r="F42" s="109"/>
      <c r="G42" s="109"/>
    </row>
    <row r="43" spans="2:9" ht="33.75" customHeight="1" x14ac:dyDescent="0.25">
      <c r="B43" s="475" t="s">
        <v>444</v>
      </c>
      <c r="C43" s="475">
        <f>NETWORKDAYS(C36,C37)</f>
        <v>8</v>
      </c>
      <c r="D43" s="109"/>
      <c r="E43" s="109"/>
      <c r="F43" s="109"/>
      <c r="G43" s="109"/>
    </row>
    <row r="44" spans="2:9" ht="57" customHeight="1" x14ac:dyDescent="0.25">
      <c r="B44" s="475" t="s">
        <v>445</v>
      </c>
      <c r="C44" s="475">
        <f ca="1">C41-C42</f>
        <v>10</v>
      </c>
      <c r="D44" s="109"/>
      <c r="E44" s="109"/>
      <c r="F44" s="109"/>
      <c r="G44" s="109"/>
    </row>
    <row r="45" spans="2:9" ht="50.45" customHeight="1" x14ac:dyDescent="0.25">
      <c r="B45" s="477" t="s">
        <v>446</v>
      </c>
      <c r="C45" s="477"/>
      <c r="D45" s="53"/>
      <c r="E45" s="53"/>
      <c r="F45" s="53"/>
      <c r="G45" s="53"/>
    </row>
    <row r="46" spans="2:9" ht="48" customHeight="1" x14ac:dyDescent="0.25">
      <c r="B46" s="477" t="s">
        <v>447</v>
      </c>
      <c r="C46" s="477"/>
      <c r="D46" s="53"/>
      <c r="E46" s="53"/>
      <c r="F46" s="53"/>
      <c r="G46" s="53"/>
    </row>
    <row r="47" spans="2:9" ht="45.6" customHeight="1" x14ac:dyDescent="0.25">
      <c r="B47" s="478" t="s">
        <v>448</v>
      </c>
      <c r="C47" s="475">
        <v>147</v>
      </c>
      <c r="D47" s="109"/>
      <c r="E47" s="109"/>
      <c r="F47" s="109"/>
      <c r="G47" s="109"/>
    </row>
    <row r="48" spans="2:9" ht="44.45" customHeight="1" x14ac:dyDescent="0.25">
      <c r="B48" s="476" t="s">
        <v>449</v>
      </c>
      <c r="C48" s="476">
        <f>NETWORKDAYS(C38,C39)</f>
        <v>21</v>
      </c>
      <c r="D48" s="109"/>
      <c r="E48" s="109"/>
      <c r="F48" s="109"/>
      <c r="G48" s="109"/>
    </row>
    <row r="49" spans="2:7" ht="38.25" customHeight="1" x14ac:dyDescent="0.25">
      <c r="B49" s="475" t="s">
        <v>450</v>
      </c>
      <c r="C49" s="475">
        <f>ROUND(C40*C43/C48,2)</f>
        <v>0</v>
      </c>
      <c r="D49" s="109"/>
      <c r="E49" s="109"/>
      <c r="F49" s="109"/>
      <c r="G49" s="109"/>
    </row>
    <row r="50" spans="2:7" ht="28.5" customHeight="1" x14ac:dyDescent="0.25">
      <c r="B50" s="475" t="s">
        <v>451</v>
      </c>
      <c r="C50" s="475">
        <f>ROUND(C40*C43/22,2)</f>
        <v>0</v>
      </c>
      <c r="D50" s="109"/>
      <c r="E50" s="109"/>
      <c r="F50" s="109"/>
      <c r="G50" s="109"/>
    </row>
    <row r="51" spans="2:7" ht="41.25" customHeight="1" x14ac:dyDescent="0.25">
      <c r="B51" s="475" t="s">
        <v>452</v>
      </c>
      <c r="C51" s="475">
        <f>ROUND(C40*C43/21.67,2)</f>
        <v>0</v>
      </c>
      <c r="D51" s="109"/>
      <c r="E51" s="109"/>
      <c r="F51" s="109"/>
      <c r="G51" s="109"/>
    </row>
    <row r="52" spans="2:7" ht="36" customHeight="1" x14ac:dyDescent="0.25">
      <c r="B52" s="476" t="s">
        <v>453</v>
      </c>
      <c r="C52" s="476">
        <f>C39-C38+1</f>
        <v>31</v>
      </c>
      <c r="D52" s="109"/>
      <c r="E52" s="109"/>
      <c r="F52" s="109"/>
      <c r="G52" s="109"/>
    </row>
    <row r="53" spans="2:7" ht="39" customHeight="1" x14ac:dyDescent="0.25">
      <c r="B53" s="475" t="s">
        <v>454</v>
      </c>
      <c r="C53" s="475">
        <f>ROUND(C40*C41/C52,2)</f>
        <v>0</v>
      </c>
      <c r="D53" s="109"/>
      <c r="E53" s="109"/>
      <c r="F53" s="109"/>
      <c r="G53" s="109"/>
    </row>
    <row r="54" spans="2:7" ht="42.6" customHeight="1" x14ac:dyDescent="0.25">
      <c r="B54" s="475" t="s">
        <v>455</v>
      </c>
      <c r="C54" s="475">
        <f>ROUND(C40*C41/30,2)</f>
        <v>0</v>
      </c>
      <c r="D54" s="109"/>
      <c r="E54" s="109"/>
      <c r="F54" s="109"/>
      <c r="G54" s="109"/>
    </row>
    <row r="55" spans="2:7" ht="36" customHeight="1" x14ac:dyDescent="0.25">
      <c r="B55" s="476" t="s">
        <v>456</v>
      </c>
      <c r="C55" s="476">
        <f ca="1">SUMPRODUCT((WEEKDAY(ROW(INDIRECT($C38&amp;":"&amp;$C39)))=7)*1)</f>
        <v>5</v>
      </c>
      <c r="D55" s="109"/>
      <c r="E55" s="109"/>
      <c r="F55" s="109"/>
      <c r="G55" s="109"/>
    </row>
    <row r="56" spans="2:7" ht="36" customHeight="1" x14ac:dyDescent="0.25">
      <c r="B56" s="476" t="s">
        <v>457</v>
      </c>
      <c r="C56" s="476">
        <f ca="1">C52-C55</f>
        <v>26</v>
      </c>
      <c r="D56" s="109"/>
      <c r="E56" s="109"/>
      <c r="F56" s="109"/>
      <c r="G56" s="109"/>
    </row>
    <row r="57" spans="2:7" ht="39.75" customHeight="1" x14ac:dyDescent="0.25">
      <c r="B57" s="475" t="s">
        <v>458</v>
      </c>
      <c r="C57" s="475">
        <f ca="1">ROUND(C40*C44/C56,2)</f>
        <v>0</v>
      </c>
      <c r="D57" s="109"/>
      <c r="E57" s="109"/>
      <c r="F57" s="109"/>
      <c r="G57" s="109"/>
    </row>
    <row r="58" spans="2:7" ht="39.75" customHeight="1" x14ac:dyDescent="0.25">
      <c r="B58" s="475" t="s">
        <v>459</v>
      </c>
      <c r="C58" s="475">
        <f ca="1">ROUND(C40*C44/26,2)</f>
        <v>0</v>
      </c>
      <c r="D58" s="109"/>
      <c r="E58" s="109"/>
      <c r="F58" s="109"/>
      <c r="G58" s="109"/>
    </row>
  </sheetData>
  <mergeCells count="15">
    <mergeCell ref="B1:G1"/>
    <mergeCell ref="B2:G2"/>
    <mergeCell ref="D3:G3"/>
    <mergeCell ref="B4:C4"/>
    <mergeCell ref="E5:E6"/>
    <mergeCell ref="F5:G6"/>
    <mergeCell ref="B3:C3"/>
    <mergeCell ref="C23:D23"/>
    <mergeCell ref="H32:I33"/>
    <mergeCell ref="B35:G35"/>
    <mergeCell ref="F7:G7"/>
    <mergeCell ref="D13:F13"/>
    <mergeCell ref="D18:E18"/>
    <mergeCell ref="D19:E19"/>
    <mergeCell ref="B21:G21"/>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089CB-0F86-4130-A21D-0DE48D677C96}">
  <dimension ref="B1:K53"/>
  <sheetViews>
    <sheetView workbookViewId="0">
      <selection sqref="A1:XFD1048576"/>
    </sheetView>
  </sheetViews>
  <sheetFormatPr baseColWidth="10" defaultColWidth="11.42578125" defaultRowHeight="15.75" x14ac:dyDescent="0.25"/>
  <cols>
    <col min="1" max="1" width="3.28515625" style="188" customWidth="1"/>
    <col min="2" max="3" width="25.7109375" style="188" customWidth="1"/>
    <col min="4" max="4" width="11.42578125" style="188"/>
    <col min="5" max="5" width="11.85546875" style="189" bestFit="1" customWidth="1"/>
    <col min="6" max="6" width="17.85546875" style="188" bestFit="1" customWidth="1"/>
    <col min="7" max="7" width="18.85546875" style="188" bestFit="1" customWidth="1"/>
    <col min="8" max="16384" width="11.42578125" style="188"/>
  </cols>
  <sheetData>
    <row r="1" spans="2:11" ht="20.25" customHeight="1" x14ac:dyDescent="0.25">
      <c r="B1" s="1232" t="s">
        <v>517</v>
      </c>
      <c r="C1" s="1232"/>
      <c r="D1" s="1232"/>
      <c r="E1" s="1232"/>
      <c r="F1" s="1232"/>
      <c r="G1" s="1232"/>
      <c r="H1" s="1232"/>
    </row>
    <row r="2" spans="2:11" ht="14.25" customHeight="1" x14ac:dyDescent="0.25"/>
    <row r="3" spans="2:11" ht="14.25" customHeight="1" x14ac:dyDescent="0.25"/>
    <row r="5" spans="2:11" ht="14.25" customHeight="1" x14ac:dyDescent="0.25"/>
    <row r="6" spans="2:11" ht="14.25" customHeight="1" x14ac:dyDescent="0.25">
      <c r="B6" s="39" t="s">
        <v>106</v>
      </c>
      <c r="C6" s="39" t="s">
        <v>107</v>
      </c>
      <c r="D6" s="39" t="s">
        <v>108</v>
      </c>
      <c r="E6" s="39"/>
      <c r="J6" s="190"/>
      <c r="K6" s="191"/>
    </row>
    <row r="7" spans="2:11" ht="14.25" customHeight="1" x14ac:dyDescent="0.25">
      <c r="B7" s="507">
        <v>0</v>
      </c>
      <c r="C7" s="507">
        <v>1591</v>
      </c>
      <c r="D7" s="507">
        <v>0</v>
      </c>
      <c r="E7" s="508">
        <f t="shared" ref="E7:E26" si="0" xml:space="preserve"> IF($H$11&gt;=B7,IF($H$11&lt;C7,D7,0),0)</f>
        <v>0</v>
      </c>
    </row>
    <row r="8" spans="2:11" ht="14.25" customHeight="1" x14ac:dyDescent="0.25">
      <c r="B8" s="507">
        <f>C7</f>
        <v>1591</v>
      </c>
      <c r="C8" s="507">
        <v>1653</v>
      </c>
      <c r="D8" s="426">
        <v>5.0000000000000001E-3</v>
      </c>
      <c r="E8" s="426">
        <f t="shared" si="0"/>
        <v>0</v>
      </c>
    </row>
    <row r="9" spans="2:11" ht="14.25" customHeight="1" x14ac:dyDescent="0.25">
      <c r="B9" s="507">
        <f t="shared" ref="B9:B26" si="1">C8</f>
        <v>1653</v>
      </c>
      <c r="C9" s="507">
        <v>1759</v>
      </c>
      <c r="D9" s="426">
        <v>1.2999999999999999E-2</v>
      </c>
      <c r="E9" s="426">
        <f t="shared" si="0"/>
        <v>0</v>
      </c>
    </row>
    <row r="10" spans="2:11" ht="14.25" customHeight="1" x14ac:dyDescent="0.25">
      <c r="B10" s="507">
        <f t="shared" si="1"/>
        <v>1759</v>
      </c>
      <c r="C10" s="507">
        <v>1877</v>
      </c>
      <c r="D10" s="426">
        <v>2.1000000000000001E-2</v>
      </c>
      <c r="E10" s="426">
        <f t="shared" si="0"/>
        <v>0</v>
      </c>
      <c r="G10" s="1136" t="s">
        <v>206</v>
      </c>
      <c r="H10" s="1136"/>
    </row>
    <row r="11" spans="2:11" ht="14.25" customHeight="1" x14ac:dyDescent="0.25">
      <c r="B11" s="507">
        <f t="shared" si="1"/>
        <v>1877</v>
      </c>
      <c r="C11" s="507">
        <v>2006</v>
      </c>
      <c r="D11" s="426">
        <v>2.9000000000000001E-2</v>
      </c>
      <c r="E11" s="426">
        <f t="shared" si="0"/>
        <v>0</v>
      </c>
      <c r="G11" s="196" t="s">
        <v>104</v>
      </c>
      <c r="H11" s="197">
        <f>'[6]BP FORMAT JUILLET 2023'!D89</f>
        <v>1571.54</v>
      </c>
    </row>
    <row r="12" spans="2:11" ht="14.25" customHeight="1" x14ac:dyDescent="0.25">
      <c r="B12" s="507">
        <f t="shared" si="1"/>
        <v>2006</v>
      </c>
      <c r="C12" s="507">
        <v>2113</v>
      </c>
      <c r="D12" s="426">
        <v>3.5000000000000003E-2</v>
      </c>
      <c r="E12" s="426">
        <f t="shared" si="0"/>
        <v>0</v>
      </c>
      <c r="G12" s="196" t="s">
        <v>105</v>
      </c>
      <c r="H12" s="198">
        <f>E27</f>
        <v>0</v>
      </c>
    </row>
    <row r="13" spans="2:11" ht="14.25" customHeight="1" x14ac:dyDescent="0.25">
      <c r="B13" s="507">
        <f t="shared" si="1"/>
        <v>2113</v>
      </c>
      <c r="C13" s="507">
        <v>2253</v>
      </c>
      <c r="D13" s="426">
        <v>4.1000000000000002E-2</v>
      </c>
      <c r="E13" s="426">
        <f t="shared" si="0"/>
        <v>0</v>
      </c>
    </row>
    <row r="14" spans="2:11" ht="14.25" customHeight="1" x14ac:dyDescent="0.25">
      <c r="B14" s="507">
        <f t="shared" si="1"/>
        <v>2253</v>
      </c>
      <c r="C14" s="507">
        <v>2666</v>
      </c>
      <c r="D14" s="426">
        <v>5.2999999999999999E-2</v>
      </c>
      <c r="E14" s="426">
        <f t="shared" si="0"/>
        <v>0</v>
      </c>
    </row>
    <row r="15" spans="2:11" ht="14.25" customHeight="1" x14ac:dyDescent="0.25">
      <c r="B15" s="507">
        <f t="shared" si="1"/>
        <v>2666</v>
      </c>
      <c r="C15" s="507">
        <v>3052</v>
      </c>
      <c r="D15" s="426">
        <v>7.4999999999999997E-2</v>
      </c>
      <c r="E15" s="426">
        <f t="shared" si="0"/>
        <v>0</v>
      </c>
    </row>
    <row r="16" spans="2:11" ht="14.25" customHeight="1" x14ac:dyDescent="0.25">
      <c r="B16" s="507">
        <f t="shared" si="1"/>
        <v>3052</v>
      </c>
      <c r="C16" s="507">
        <v>3476</v>
      </c>
      <c r="D16" s="426">
        <v>9.9000000000000005E-2</v>
      </c>
      <c r="E16" s="426">
        <f t="shared" si="0"/>
        <v>0</v>
      </c>
    </row>
    <row r="17" spans="2:11" ht="14.25" customHeight="1" x14ac:dyDescent="0.25">
      <c r="B17" s="507">
        <f t="shared" si="1"/>
        <v>3476</v>
      </c>
      <c r="C17" s="507">
        <v>3913</v>
      </c>
      <c r="D17" s="426">
        <v>0.11899999999999999</v>
      </c>
      <c r="E17" s="426">
        <f t="shared" si="0"/>
        <v>0</v>
      </c>
    </row>
    <row r="18" spans="2:11" ht="14.25" customHeight="1" x14ac:dyDescent="0.25">
      <c r="B18" s="507">
        <f t="shared" si="1"/>
        <v>3913</v>
      </c>
      <c r="C18" s="507">
        <v>4566</v>
      </c>
      <c r="D18" s="426">
        <v>0.13800000000000001</v>
      </c>
      <c r="E18" s="426">
        <f t="shared" si="0"/>
        <v>0</v>
      </c>
    </row>
    <row r="19" spans="2:11" ht="14.25" customHeight="1" x14ac:dyDescent="0.25">
      <c r="B19" s="507">
        <f t="shared" si="1"/>
        <v>4566</v>
      </c>
      <c r="C19" s="507">
        <v>5475</v>
      </c>
      <c r="D19" s="426">
        <v>0.158</v>
      </c>
      <c r="E19" s="426">
        <f t="shared" si="0"/>
        <v>0</v>
      </c>
    </row>
    <row r="20" spans="2:11" ht="14.25" customHeight="1" x14ac:dyDescent="0.25">
      <c r="B20" s="507">
        <f t="shared" si="1"/>
        <v>5475</v>
      </c>
      <c r="C20" s="507">
        <v>6851</v>
      </c>
      <c r="D20" s="426">
        <v>0.17899999999999999</v>
      </c>
      <c r="E20" s="426">
        <f t="shared" si="0"/>
        <v>0</v>
      </c>
    </row>
    <row r="21" spans="2:11" ht="14.25" customHeight="1" x14ac:dyDescent="0.25">
      <c r="B21" s="507">
        <f t="shared" si="1"/>
        <v>6851</v>
      </c>
      <c r="C21" s="507">
        <v>8557</v>
      </c>
      <c r="D21" s="426">
        <v>0.2</v>
      </c>
      <c r="E21" s="426">
        <f t="shared" si="0"/>
        <v>0</v>
      </c>
    </row>
    <row r="22" spans="2:11" ht="14.25" customHeight="1" x14ac:dyDescent="0.25">
      <c r="B22" s="507">
        <f t="shared" si="1"/>
        <v>8557</v>
      </c>
      <c r="C22" s="507">
        <v>11877</v>
      </c>
      <c r="D22" s="426">
        <v>0.24</v>
      </c>
      <c r="E22" s="426">
        <f t="shared" si="0"/>
        <v>0</v>
      </c>
    </row>
    <row r="23" spans="2:11" ht="14.25" customHeight="1" x14ac:dyDescent="0.25">
      <c r="B23" s="507">
        <f t="shared" si="1"/>
        <v>11877</v>
      </c>
      <c r="C23" s="507">
        <v>16086</v>
      </c>
      <c r="D23" s="426">
        <v>0.28000000000000003</v>
      </c>
      <c r="E23" s="426">
        <f t="shared" si="0"/>
        <v>0</v>
      </c>
    </row>
    <row r="24" spans="2:11" ht="14.25" customHeight="1" x14ac:dyDescent="0.25">
      <c r="B24" s="507">
        <f t="shared" si="1"/>
        <v>16086</v>
      </c>
      <c r="C24" s="507">
        <v>25251</v>
      </c>
      <c r="D24" s="426">
        <v>0.33</v>
      </c>
      <c r="E24" s="426">
        <f t="shared" si="0"/>
        <v>0</v>
      </c>
    </row>
    <row r="25" spans="2:11" ht="14.25" customHeight="1" x14ac:dyDescent="0.25">
      <c r="B25" s="507">
        <f t="shared" si="1"/>
        <v>25251</v>
      </c>
      <c r="C25" s="507">
        <v>54088</v>
      </c>
      <c r="D25" s="426">
        <v>0.38</v>
      </c>
      <c r="E25" s="426">
        <f t="shared" si="0"/>
        <v>0</v>
      </c>
    </row>
    <row r="26" spans="2:11" ht="14.25" customHeight="1" x14ac:dyDescent="0.25">
      <c r="B26" s="507">
        <f t="shared" si="1"/>
        <v>54088</v>
      </c>
      <c r="C26" s="507">
        <v>99999999999</v>
      </c>
      <c r="D26" s="426">
        <v>0.43</v>
      </c>
      <c r="E26" s="426">
        <f t="shared" si="0"/>
        <v>0</v>
      </c>
    </row>
    <row r="27" spans="2:11" ht="14.25" customHeight="1" x14ac:dyDescent="0.25">
      <c r="B27" s="190"/>
      <c r="E27" s="195">
        <f>SUM(E7:E26)</f>
        <v>0</v>
      </c>
    </row>
    <row r="28" spans="2:11" ht="18" customHeight="1" x14ac:dyDescent="0.25"/>
    <row r="29" spans="2:11" ht="14.25" hidden="1" customHeight="1" x14ac:dyDescent="0.25">
      <c r="J29" s="1217"/>
      <c r="K29" s="1217"/>
    </row>
    <row r="30" spans="2:11" ht="14.25" hidden="1" customHeight="1" x14ac:dyDescent="0.25">
      <c r="B30" s="39" t="s">
        <v>106</v>
      </c>
      <c r="C30" s="39" t="s">
        <v>107</v>
      </c>
      <c r="D30" s="39" t="s">
        <v>108</v>
      </c>
      <c r="E30" s="39"/>
      <c r="K30" s="200"/>
    </row>
    <row r="31" spans="2:11" ht="14.25" hidden="1" customHeight="1" x14ac:dyDescent="0.25">
      <c r="B31" s="192">
        <v>0</v>
      </c>
      <c r="C31" s="192">
        <v>1440</v>
      </c>
      <c r="D31" s="192">
        <v>0</v>
      </c>
      <c r="E31" s="193">
        <f t="shared" ref="E31:E50" si="2" xml:space="preserve"> IF($G$34&gt;=B31,IF($G$34&lt;C31,D31,0),0)</f>
        <v>0</v>
      </c>
      <c r="K31" s="201"/>
    </row>
    <row r="32" spans="2:11" ht="14.25" hidden="1" customHeight="1" x14ac:dyDescent="0.25">
      <c r="B32" s="192">
        <f>C31</f>
        <v>1440</v>
      </c>
      <c r="C32" s="192">
        <v>1496</v>
      </c>
      <c r="D32" s="194">
        <v>5.0000000000000001E-3</v>
      </c>
      <c r="E32" s="195">
        <f t="shared" si="2"/>
        <v>0</v>
      </c>
      <c r="F32" s="202"/>
    </row>
    <row r="33" spans="2:7" ht="14.25" hidden="1" customHeight="1" x14ac:dyDescent="0.25">
      <c r="B33" s="192">
        <f t="shared" ref="B33:B50" si="3">C32</f>
        <v>1496</v>
      </c>
      <c r="C33" s="192">
        <v>1592</v>
      </c>
      <c r="D33" s="194">
        <v>1.2999999999999999E-2</v>
      </c>
      <c r="E33" s="195">
        <f t="shared" si="2"/>
        <v>0</v>
      </c>
      <c r="F33" s="202"/>
      <c r="G33" s="196" t="s">
        <v>207</v>
      </c>
    </row>
    <row r="34" spans="2:7" ht="14.25" hidden="1" customHeight="1" x14ac:dyDescent="0.25">
      <c r="B34" s="192">
        <f t="shared" si="3"/>
        <v>1592</v>
      </c>
      <c r="C34" s="192">
        <v>1699</v>
      </c>
      <c r="D34" s="195">
        <v>2.1000000000000001E-2</v>
      </c>
      <c r="E34" s="195">
        <f t="shared" si="2"/>
        <v>0</v>
      </c>
      <c r="F34" s="202"/>
      <c r="G34" s="197"/>
    </row>
    <row r="35" spans="2:7" ht="14.25" hidden="1" customHeight="1" x14ac:dyDescent="0.25">
      <c r="B35" s="192">
        <f t="shared" si="3"/>
        <v>1699</v>
      </c>
      <c r="C35" s="192">
        <v>1816</v>
      </c>
      <c r="D35" s="195">
        <v>2.9000000000000001E-2</v>
      </c>
      <c r="E35" s="195">
        <f t="shared" si="2"/>
        <v>0</v>
      </c>
      <c r="F35" s="202"/>
      <c r="G35" s="198"/>
    </row>
    <row r="36" spans="2:7" ht="14.25" hidden="1" customHeight="1" x14ac:dyDescent="0.25">
      <c r="B36" s="192">
        <f t="shared" si="3"/>
        <v>1816</v>
      </c>
      <c r="C36" s="192">
        <v>1913</v>
      </c>
      <c r="D36" s="195">
        <v>3.5000000000000003E-2</v>
      </c>
      <c r="E36" s="195">
        <f t="shared" si="2"/>
        <v>0</v>
      </c>
      <c r="F36" s="202"/>
    </row>
    <row r="37" spans="2:7" ht="14.25" hidden="1" customHeight="1" x14ac:dyDescent="0.25">
      <c r="B37" s="192">
        <f t="shared" si="3"/>
        <v>1913</v>
      </c>
      <c r="C37" s="192">
        <v>2040</v>
      </c>
      <c r="D37" s="195">
        <v>4.1000000000000002E-2</v>
      </c>
      <c r="E37" s="195">
        <f t="shared" si="2"/>
        <v>0</v>
      </c>
      <c r="F37" s="202"/>
    </row>
    <row r="38" spans="2:7" ht="14.25" hidden="1" customHeight="1" x14ac:dyDescent="0.25">
      <c r="B38" s="192">
        <f t="shared" si="3"/>
        <v>2040</v>
      </c>
      <c r="C38" s="192">
        <v>2414</v>
      </c>
      <c r="D38" s="195">
        <v>5.2999999999999999E-2</v>
      </c>
      <c r="E38" s="195">
        <f t="shared" si="2"/>
        <v>0</v>
      </c>
      <c r="F38" s="202"/>
    </row>
    <row r="39" spans="2:7" ht="14.25" hidden="1" customHeight="1" x14ac:dyDescent="0.25">
      <c r="B39" s="192">
        <f t="shared" si="3"/>
        <v>2414</v>
      </c>
      <c r="C39" s="192">
        <v>2763</v>
      </c>
      <c r="D39" s="195">
        <v>7.4999999999999997E-2</v>
      </c>
      <c r="E39" s="195">
        <f t="shared" si="2"/>
        <v>0</v>
      </c>
      <c r="F39" s="202"/>
    </row>
    <row r="40" spans="2:7" ht="14.25" hidden="1" customHeight="1" x14ac:dyDescent="0.25">
      <c r="B40" s="192">
        <f t="shared" si="3"/>
        <v>2763</v>
      </c>
      <c r="C40" s="192">
        <v>3147</v>
      </c>
      <c r="D40" s="195">
        <v>9.9000000000000005E-2</v>
      </c>
      <c r="E40" s="195">
        <f t="shared" si="2"/>
        <v>0</v>
      </c>
      <c r="F40" s="202"/>
    </row>
    <row r="41" spans="2:7" ht="14.25" hidden="1" customHeight="1" x14ac:dyDescent="0.25">
      <c r="B41" s="192">
        <f t="shared" si="3"/>
        <v>3147</v>
      </c>
      <c r="C41" s="192">
        <v>3543</v>
      </c>
      <c r="D41" s="195">
        <v>0.11899999999999999</v>
      </c>
      <c r="E41" s="195">
        <f t="shared" si="2"/>
        <v>0</v>
      </c>
      <c r="F41" s="202"/>
    </row>
    <row r="42" spans="2:7" ht="14.25" hidden="1" customHeight="1" x14ac:dyDescent="0.25">
      <c r="B42" s="192">
        <f t="shared" si="3"/>
        <v>3543</v>
      </c>
      <c r="C42" s="192">
        <v>4134</v>
      </c>
      <c r="D42" s="195">
        <v>0.13800000000000001</v>
      </c>
      <c r="E42" s="195">
        <f t="shared" si="2"/>
        <v>0</v>
      </c>
      <c r="F42" s="202"/>
    </row>
    <row r="43" spans="2:7" ht="14.25" hidden="1" customHeight="1" x14ac:dyDescent="0.25">
      <c r="B43" s="192">
        <f t="shared" si="3"/>
        <v>4134</v>
      </c>
      <c r="C43" s="192">
        <v>4956</v>
      </c>
      <c r="D43" s="195">
        <v>0.158</v>
      </c>
      <c r="E43" s="195">
        <f t="shared" si="2"/>
        <v>0</v>
      </c>
      <c r="F43" s="202"/>
    </row>
    <row r="44" spans="2:7" ht="14.25" hidden="1" customHeight="1" x14ac:dyDescent="0.25">
      <c r="B44" s="192">
        <f t="shared" si="3"/>
        <v>4956</v>
      </c>
      <c r="C44" s="192">
        <v>6202</v>
      </c>
      <c r="D44" s="195">
        <v>0.17899999999999999</v>
      </c>
      <c r="E44" s="195">
        <f t="shared" si="2"/>
        <v>0</v>
      </c>
      <c r="F44" s="202"/>
    </row>
    <row r="45" spans="2:7" ht="14.25" hidden="1" customHeight="1" x14ac:dyDescent="0.25">
      <c r="B45" s="192">
        <f t="shared" si="3"/>
        <v>6202</v>
      </c>
      <c r="C45" s="192">
        <v>7747</v>
      </c>
      <c r="D45" s="195">
        <v>0.2</v>
      </c>
      <c r="E45" s="195">
        <f t="shared" si="2"/>
        <v>0</v>
      </c>
      <c r="F45" s="202"/>
    </row>
    <row r="46" spans="2:7" ht="14.25" hidden="1" customHeight="1" x14ac:dyDescent="0.25">
      <c r="B46" s="192">
        <f t="shared" si="3"/>
        <v>7747</v>
      </c>
      <c r="C46" s="192">
        <v>10752</v>
      </c>
      <c r="D46" s="195">
        <v>0.24</v>
      </c>
      <c r="E46" s="195">
        <f t="shared" si="2"/>
        <v>0</v>
      </c>
      <c r="F46" s="202"/>
    </row>
    <row r="47" spans="2:7" ht="14.25" hidden="1" customHeight="1" x14ac:dyDescent="0.25">
      <c r="B47" s="192">
        <f t="shared" si="3"/>
        <v>10752</v>
      </c>
      <c r="C47" s="192">
        <v>14563</v>
      </c>
      <c r="D47" s="195">
        <v>0.28000000000000003</v>
      </c>
      <c r="E47" s="195">
        <f t="shared" si="2"/>
        <v>0</v>
      </c>
      <c r="F47" s="202"/>
    </row>
    <row r="48" spans="2:7" ht="14.25" hidden="1" customHeight="1" x14ac:dyDescent="0.25">
      <c r="B48" s="192">
        <f t="shared" si="3"/>
        <v>14563</v>
      </c>
      <c r="C48" s="192">
        <v>22860</v>
      </c>
      <c r="D48" s="195">
        <v>0.33</v>
      </c>
      <c r="E48" s="195">
        <f t="shared" si="2"/>
        <v>0</v>
      </c>
      <c r="F48" s="202"/>
    </row>
    <row r="49" spans="2:6" ht="14.25" hidden="1" customHeight="1" x14ac:dyDescent="0.25">
      <c r="B49" s="192">
        <f t="shared" si="3"/>
        <v>22860</v>
      </c>
      <c r="C49" s="192">
        <v>48967</v>
      </c>
      <c r="D49" s="195">
        <v>0.38</v>
      </c>
      <c r="E49" s="195">
        <f t="shared" si="2"/>
        <v>0</v>
      </c>
      <c r="F49" s="202"/>
    </row>
    <row r="50" spans="2:6" ht="14.25" hidden="1" customHeight="1" x14ac:dyDescent="0.25">
      <c r="B50" s="192">
        <f t="shared" si="3"/>
        <v>48967</v>
      </c>
      <c r="C50" s="199">
        <v>99999999999</v>
      </c>
      <c r="D50" s="195">
        <v>0.43</v>
      </c>
      <c r="E50" s="195">
        <f t="shared" si="2"/>
        <v>0</v>
      </c>
      <c r="F50" s="202"/>
    </row>
    <row r="51" spans="2:6" ht="14.25" hidden="1" customHeight="1" x14ac:dyDescent="0.25">
      <c r="B51" s="190"/>
      <c r="E51" s="195">
        <f>SUM(E31:E50)</f>
        <v>0</v>
      </c>
      <c r="F51" s="203"/>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18670-2239-4A88-B114-AA94170C514C}">
  <dimension ref="A1:K29"/>
  <sheetViews>
    <sheetView workbookViewId="0">
      <selection activeCell="F8" sqref="F8"/>
    </sheetView>
  </sheetViews>
  <sheetFormatPr baseColWidth="10" defaultColWidth="11.5703125" defaultRowHeight="15.75" x14ac:dyDescent="0.25"/>
  <cols>
    <col min="1" max="3" width="23.28515625" style="188" customWidth="1"/>
    <col min="4" max="16384" width="11.5703125" style="188"/>
  </cols>
  <sheetData>
    <row r="1" spans="1:11" x14ac:dyDescent="0.25">
      <c r="B1" s="1233" t="s">
        <v>996</v>
      </c>
      <c r="C1" s="1233"/>
      <c r="D1" s="1233"/>
      <c r="E1" s="1233"/>
      <c r="F1" s="1233"/>
      <c r="G1" s="1233"/>
      <c r="H1" s="1233"/>
    </row>
    <row r="2" spans="1:11" x14ac:dyDescent="0.25">
      <c r="E2" s="189"/>
    </row>
    <row r="3" spans="1:11" x14ac:dyDescent="0.25">
      <c r="E3" s="189"/>
    </row>
    <row r="4" spans="1:11" x14ac:dyDescent="0.25">
      <c r="E4" s="189"/>
    </row>
    <row r="5" spans="1:11" x14ac:dyDescent="0.25">
      <c r="E5" s="189"/>
    </row>
    <row r="6" spans="1:11" x14ac:dyDescent="0.25">
      <c r="B6" s="39" t="s">
        <v>106</v>
      </c>
      <c r="C6" s="39" t="s">
        <v>107</v>
      </c>
      <c r="D6" s="39" t="s">
        <v>108</v>
      </c>
      <c r="E6" s="39"/>
      <c r="J6" s="190"/>
      <c r="K6" s="191"/>
    </row>
    <row r="7" spans="1:11" x14ac:dyDescent="0.25">
      <c r="A7" s="793">
        <v>0</v>
      </c>
      <c r="B7" s="793">
        <v>1620</v>
      </c>
      <c r="C7" s="794">
        <v>0</v>
      </c>
      <c r="D7" s="508">
        <f t="shared" ref="D7:D26" si="0" xml:space="preserve"> IF($H$11&gt;=A7,IF($H$11&lt;B7,C7,0),0)</f>
        <v>0</v>
      </c>
    </row>
    <row r="8" spans="1:11" x14ac:dyDescent="0.25">
      <c r="A8" s="793">
        <f>B7</f>
        <v>1620</v>
      </c>
      <c r="B8" s="793">
        <v>1683</v>
      </c>
      <c r="C8" s="793" t="s">
        <v>997</v>
      </c>
      <c r="D8" s="426">
        <f t="shared" si="0"/>
        <v>0</v>
      </c>
    </row>
    <row r="9" spans="1:11" x14ac:dyDescent="0.25">
      <c r="A9" s="793">
        <f>B8</f>
        <v>1683</v>
      </c>
      <c r="B9" s="793">
        <v>1791</v>
      </c>
      <c r="C9" s="793" t="s">
        <v>998</v>
      </c>
      <c r="D9" s="426">
        <f t="shared" si="0"/>
        <v>0</v>
      </c>
    </row>
    <row r="10" spans="1:11" x14ac:dyDescent="0.25">
      <c r="A10" s="793">
        <f>B9</f>
        <v>1791</v>
      </c>
      <c r="B10" s="793">
        <v>1911</v>
      </c>
      <c r="C10" s="793" t="s">
        <v>999</v>
      </c>
      <c r="D10" s="426">
        <f t="shared" si="0"/>
        <v>0</v>
      </c>
      <c r="G10" s="1136" t="s">
        <v>206</v>
      </c>
      <c r="H10" s="1136"/>
    </row>
    <row r="11" spans="1:11" x14ac:dyDescent="0.25">
      <c r="A11" s="793">
        <f>B10</f>
        <v>1911</v>
      </c>
      <c r="B11" s="793">
        <v>2042</v>
      </c>
      <c r="C11" s="793" t="s">
        <v>1000</v>
      </c>
      <c r="D11" s="426">
        <f t="shared" si="0"/>
        <v>0</v>
      </c>
      <c r="G11" s="196" t="s">
        <v>104</v>
      </c>
      <c r="H11" s="197">
        <f>'[7]BP FORMAT JUILLET 2023'!D89</f>
        <v>1571.54</v>
      </c>
    </row>
    <row r="12" spans="1:11" x14ac:dyDescent="0.25">
      <c r="A12" s="793">
        <f>B11</f>
        <v>2042</v>
      </c>
      <c r="B12" s="793">
        <v>2151</v>
      </c>
      <c r="C12" s="793" t="s">
        <v>1001</v>
      </c>
      <c r="D12" s="426">
        <f t="shared" si="0"/>
        <v>0</v>
      </c>
      <c r="G12" s="196" t="s">
        <v>105</v>
      </c>
      <c r="H12" s="198">
        <f>E27</f>
        <v>0</v>
      </c>
    </row>
    <row r="13" spans="1:11" x14ac:dyDescent="0.25">
      <c r="A13" s="793">
        <f t="shared" ref="A13:A24" si="1">B12</f>
        <v>2151</v>
      </c>
      <c r="B13" s="793">
        <v>2294</v>
      </c>
      <c r="C13" s="793" t="s">
        <v>1002</v>
      </c>
      <c r="D13" s="426">
        <f t="shared" si="0"/>
        <v>0</v>
      </c>
    </row>
    <row r="14" spans="1:11" x14ac:dyDescent="0.25">
      <c r="A14" s="793">
        <f t="shared" si="1"/>
        <v>2294</v>
      </c>
      <c r="B14" s="793">
        <v>2714</v>
      </c>
      <c r="C14" s="793" t="s">
        <v>1003</v>
      </c>
      <c r="D14" s="426">
        <f t="shared" si="0"/>
        <v>0</v>
      </c>
    </row>
    <row r="15" spans="1:11" x14ac:dyDescent="0.25">
      <c r="A15" s="793">
        <f t="shared" si="1"/>
        <v>2714</v>
      </c>
      <c r="B15" s="793">
        <v>3107</v>
      </c>
      <c r="C15" s="793" t="s">
        <v>1004</v>
      </c>
      <c r="D15" s="426">
        <f t="shared" si="0"/>
        <v>0</v>
      </c>
    </row>
    <row r="16" spans="1:11" x14ac:dyDescent="0.25">
      <c r="A16" s="793">
        <f t="shared" si="1"/>
        <v>3107</v>
      </c>
      <c r="B16" s="793">
        <v>3539</v>
      </c>
      <c r="C16" s="793" t="s">
        <v>1005</v>
      </c>
      <c r="D16" s="426">
        <f t="shared" si="0"/>
        <v>0</v>
      </c>
    </row>
    <row r="17" spans="1:4" x14ac:dyDescent="0.25">
      <c r="A17" s="793">
        <f t="shared" si="1"/>
        <v>3539</v>
      </c>
      <c r="B17" s="793">
        <v>3983</v>
      </c>
      <c r="C17" s="793" t="s">
        <v>1006</v>
      </c>
      <c r="D17" s="426">
        <f t="shared" si="0"/>
        <v>0</v>
      </c>
    </row>
    <row r="18" spans="1:4" x14ac:dyDescent="0.25">
      <c r="A18" s="793">
        <f t="shared" si="1"/>
        <v>3983</v>
      </c>
      <c r="B18" s="793">
        <v>4648</v>
      </c>
      <c r="C18" s="793" t="s">
        <v>1007</v>
      </c>
      <c r="D18" s="426">
        <f t="shared" si="0"/>
        <v>0</v>
      </c>
    </row>
    <row r="19" spans="1:4" x14ac:dyDescent="0.25">
      <c r="A19" s="793">
        <f t="shared" si="1"/>
        <v>4648</v>
      </c>
      <c r="B19" s="793">
        <v>5574</v>
      </c>
      <c r="C19" s="793" t="s">
        <v>1008</v>
      </c>
      <c r="D19" s="426">
        <f t="shared" si="0"/>
        <v>0</v>
      </c>
    </row>
    <row r="20" spans="1:4" x14ac:dyDescent="0.25">
      <c r="A20" s="793">
        <f t="shared" si="1"/>
        <v>5574</v>
      </c>
      <c r="B20" s="793">
        <v>6974</v>
      </c>
      <c r="C20" s="793" t="s">
        <v>1009</v>
      </c>
      <c r="D20" s="426">
        <f t="shared" si="0"/>
        <v>0</v>
      </c>
    </row>
    <row r="21" spans="1:4" x14ac:dyDescent="0.25">
      <c r="A21" s="793">
        <f t="shared" si="1"/>
        <v>6974</v>
      </c>
      <c r="B21" s="793">
        <v>8711</v>
      </c>
      <c r="C21" s="794">
        <v>0.2</v>
      </c>
      <c r="D21" s="426">
        <f t="shared" si="0"/>
        <v>0</v>
      </c>
    </row>
    <row r="22" spans="1:4" x14ac:dyDescent="0.25">
      <c r="A22" s="793">
        <f t="shared" si="1"/>
        <v>8711</v>
      </c>
      <c r="B22" s="793">
        <v>12091</v>
      </c>
      <c r="C22" s="794">
        <v>0.24</v>
      </c>
      <c r="D22" s="426">
        <f t="shared" si="0"/>
        <v>0</v>
      </c>
    </row>
    <row r="23" spans="1:4" x14ac:dyDescent="0.25">
      <c r="A23" s="793">
        <f t="shared" si="1"/>
        <v>12091</v>
      </c>
      <c r="B23" s="793">
        <v>16376</v>
      </c>
      <c r="C23" s="794">
        <v>0.28000000000000003</v>
      </c>
      <c r="D23" s="426">
        <f t="shared" si="0"/>
        <v>0</v>
      </c>
    </row>
    <row r="24" spans="1:4" x14ac:dyDescent="0.25">
      <c r="A24" s="793">
        <f t="shared" si="1"/>
        <v>16376</v>
      </c>
      <c r="B24" s="793">
        <v>25706</v>
      </c>
      <c r="C24" s="794">
        <v>0.33</v>
      </c>
      <c r="D24" s="426">
        <f t="shared" si="0"/>
        <v>0</v>
      </c>
    </row>
    <row r="25" spans="1:4" x14ac:dyDescent="0.25">
      <c r="A25" s="793">
        <f>B24</f>
        <v>25706</v>
      </c>
      <c r="B25" s="793">
        <v>55062</v>
      </c>
      <c r="C25" s="794">
        <v>0.38</v>
      </c>
      <c r="D25" s="426">
        <f t="shared" si="0"/>
        <v>0</v>
      </c>
    </row>
    <row r="26" spans="1:4" x14ac:dyDescent="0.25">
      <c r="A26" s="793">
        <f>B25</f>
        <v>55062</v>
      </c>
      <c r="B26" s="793"/>
      <c r="C26" s="794">
        <v>0.43</v>
      </c>
      <c r="D26" s="426">
        <f t="shared" si="0"/>
        <v>0</v>
      </c>
    </row>
    <row r="27" spans="1:4" x14ac:dyDescent="0.25">
      <c r="A27" s="795"/>
      <c r="B27" s="795"/>
      <c r="D27" s="195">
        <f>SUM(D7:D26)</f>
        <v>0</v>
      </c>
    </row>
    <row r="29" spans="1:4" x14ac:dyDescent="0.25">
      <c r="A29" s="796" t="s">
        <v>1010</v>
      </c>
      <c r="B29" s="796"/>
    </row>
  </sheetData>
  <mergeCells count="2">
    <mergeCell ref="B1:H1"/>
    <mergeCell ref="G10:H10"/>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5"/>
  <sheetViews>
    <sheetView topLeftCell="B1" zoomScale="110" zoomScaleNormal="110" workbookViewId="0">
      <selection activeCell="B9" sqref="A9:XFD9"/>
    </sheetView>
  </sheetViews>
  <sheetFormatPr baseColWidth="10" defaultColWidth="11.42578125" defaultRowHeight="15.75" x14ac:dyDescent="0.25"/>
  <cols>
    <col min="1" max="16384" width="11.42578125" style="188"/>
  </cols>
  <sheetData>
    <row r="3" spans="2:4" x14ac:dyDescent="0.25">
      <c r="B3" s="188" t="s">
        <v>675</v>
      </c>
    </row>
    <row r="5" spans="2:4" x14ac:dyDescent="0.25">
      <c r="C5" s="188" t="s">
        <v>1050</v>
      </c>
    </row>
    <row r="6" spans="2:4" x14ac:dyDescent="0.25">
      <c r="D6" s="188" t="s">
        <v>1047</v>
      </c>
    </row>
    <row r="7" spans="2:4" x14ac:dyDescent="0.25">
      <c r="D7" s="188" t="s">
        <v>1048</v>
      </c>
    </row>
    <row r="8" spans="2:4" x14ac:dyDescent="0.25">
      <c r="D8" s="188" t="s">
        <v>1049</v>
      </c>
    </row>
    <row r="9" spans="2:4" x14ac:dyDescent="0.25">
      <c r="C9" s="188" t="s">
        <v>1051</v>
      </c>
    </row>
    <row r="10" spans="2:4" x14ac:dyDescent="0.25">
      <c r="C10" s="188" t="s">
        <v>1052</v>
      </c>
    </row>
    <row r="12" spans="2:4" x14ac:dyDescent="0.25">
      <c r="B12" s="188" t="s">
        <v>676</v>
      </c>
    </row>
    <row r="13" spans="2:4" x14ac:dyDescent="0.25">
      <c r="B13" s="188" t="s">
        <v>677</v>
      </c>
    </row>
    <row r="15" spans="2:4" x14ac:dyDescent="0.25">
      <c r="C15" s="188" t="s">
        <v>678</v>
      </c>
    </row>
    <row r="17" spans="4:7" x14ac:dyDescent="0.25">
      <c r="D17" s="188" t="s">
        <v>1053</v>
      </c>
    </row>
    <row r="18" spans="4:7" x14ac:dyDescent="0.25">
      <c r="D18" s="188" t="s">
        <v>524</v>
      </c>
    </row>
    <row r="19" spans="4:7" x14ac:dyDescent="0.25">
      <c r="D19" s="188" t="s">
        <v>679</v>
      </c>
    </row>
    <row r="20" spans="4:7" x14ac:dyDescent="0.25">
      <c r="D20" s="188" t="s">
        <v>680</v>
      </c>
    </row>
    <row r="21" spans="4:7" x14ac:dyDescent="0.25">
      <c r="D21" s="188" t="s">
        <v>681</v>
      </c>
      <c r="G21" s="188" t="s">
        <v>682</v>
      </c>
    </row>
    <row r="22" spans="4:7" x14ac:dyDescent="0.25">
      <c r="D22" s="188" t="s">
        <v>533</v>
      </c>
    </row>
    <row r="23" spans="4:7" x14ac:dyDescent="0.25">
      <c r="D23" s="188" t="s">
        <v>683</v>
      </c>
      <c r="G23" s="188" t="s">
        <v>684</v>
      </c>
    </row>
    <row r="24" spans="4:7" x14ac:dyDescent="0.25">
      <c r="G24" s="188" t="s">
        <v>685</v>
      </c>
    </row>
    <row r="25" spans="4:7" x14ac:dyDescent="0.25">
      <c r="D25" s="188" t="s">
        <v>686</v>
      </c>
      <c r="G25" s="188" t="s">
        <v>687</v>
      </c>
    </row>
    <row r="26" spans="4:7" x14ac:dyDescent="0.25">
      <c r="G26" s="188" t="s">
        <v>688</v>
      </c>
    </row>
    <row r="27" spans="4:7" x14ac:dyDescent="0.25">
      <c r="D27" s="188" t="s">
        <v>1054</v>
      </c>
    </row>
    <row r="28" spans="4:7" x14ac:dyDescent="0.25">
      <c r="D28" s="188" t="s">
        <v>689</v>
      </c>
      <c r="G28" s="188" t="s">
        <v>690</v>
      </c>
    </row>
    <row r="29" spans="4:7" x14ac:dyDescent="0.25">
      <c r="D29" s="188" t="s">
        <v>691</v>
      </c>
      <c r="G29" s="188" t="s">
        <v>692</v>
      </c>
    </row>
    <row r="30" spans="4:7" x14ac:dyDescent="0.25">
      <c r="D30" s="188" t="s">
        <v>693</v>
      </c>
      <c r="G30" s="188" t="s">
        <v>694</v>
      </c>
    </row>
    <row r="31" spans="4:7" x14ac:dyDescent="0.25">
      <c r="D31" s="188" t="s">
        <v>695</v>
      </c>
      <c r="G31" s="188" t="s">
        <v>696</v>
      </c>
    </row>
    <row r="32" spans="4:7" x14ac:dyDescent="0.25">
      <c r="D32" s="188" t="s">
        <v>697</v>
      </c>
      <c r="G32" s="188" t="s">
        <v>698</v>
      </c>
    </row>
    <row r="33" spans="4:7" x14ac:dyDescent="0.25">
      <c r="D33" s="188" t="s">
        <v>699</v>
      </c>
      <c r="G33" s="188" t="s">
        <v>700</v>
      </c>
    </row>
    <row r="34" spans="4:7" x14ac:dyDescent="0.25">
      <c r="D34" s="188" t="s">
        <v>701</v>
      </c>
    </row>
    <row r="35" spans="4:7" x14ac:dyDescent="0.25">
      <c r="D35" s="188" t="s">
        <v>702</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36</xdr:row>
                <xdr:rowOff>0</xdr:rowOff>
              </from>
              <to>
                <xdr:col>9</xdr:col>
                <xdr:colOff>676275</xdr:colOff>
                <xdr:row>40</xdr:row>
                <xdr:rowOff>85725</xdr:rowOff>
              </to>
            </anchor>
          </objectPr>
        </oleObject>
      </mc:Choice>
      <mc:Fallback>
        <oleObject progId="Word.Document.12" shapeId="9932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6F82C-1C37-4B85-81DE-97312AD15DC0}">
  <dimension ref="A1"/>
  <sheetViews>
    <sheetView topLeftCell="A32" workbookViewId="0">
      <selection sqref="A1:XFD1048576"/>
    </sheetView>
  </sheetViews>
  <sheetFormatPr baseColWidth="10"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16D33-8655-4A1A-BBB5-B9FECD4E5770}">
  <dimension ref="B25:AN39"/>
  <sheetViews>
    <sheetView topLeftCell="A12" workbookViewId="0">
      <selection activeCell="B40" sqref="B40"/>
    </sheetView>
  </sheetViews>
  <sheetFormatPr baseColWidth="10" defaultRowHeight="15" x14ac:dyDescent="0.25"/>
  <cols>
    <col min="15" max="15" width="19.28515625" bestFit="1" customWidth="1"/>
    <col min="16" max="16" width="9.28515625" style="53" customWidth="1"/>
    <col min="17" max="20" width="4.42578125" customWidth="1"/>
    <col min="21" max="21" width="5.85546875" customWidth="1"/>
    <col min="22" max="22" width="3.85546875" customWidth="1"/>
    <col min="23" max="23" width="3.85546875" style="556" customWidth="1"/>
    <col min="24" max="24" width="3.7109375" style="556" customWidth="1"/>
    <col min="25" max="25" width="3.28515625" style="556" customWidth="1"/>
    <col min="26" max="26" width="3.42578125" style="556" customWidth="1"/>
    <col min="27" max="28" width="3.28515625" style="556" customWidth="1"/>
    <col min="29" max="29" width="3.7109375" style="556" customWidth="1"/>
    <col min="30" max="30" width="5.42578125" bestFit="1" customWidth="1"/>
    <col min="31" max="31" width="4.42578125" customWidth="1"/>
    <col min="32" max="32" width="5.85546875" bestFit="1" customWidth="1"/>
    <col min="33" max="34" width="3.7109375" customWidth="1"/>
    <col min="35" max="35" width="4.5703125" customWidth="1"/>
    <col min="36" max="36" width="3.7109375" customWidth="1"/>
    <col min="37" max="37" width="3.5703125" style="556" customWidth="1"/>
    <col min="38" max="39" width="3.28515625" style="556" customWidth="1"/>
    <col min="40" max="40" width="3.42578125" style="556" customWidth="1"/>
  </cols>
  <sheetData>
    <row r="25" spans="15:40" ht="14.45" customHeight="1" x14ac:dyDescent="0.25">
      <c r="O25" s="864" t="s">
        <v>710</v>
      </c>
      <c r="P25" s="864" t="s">
        <v>711</v>
      </c>
      <c r="Q25" s="864" t="s">
        <v>712</v>
      </c>
      <c r="R25" s="864"/>
      <c r="S25" s="864"/>
      <c r="T25" s="864"/>
      <c r="U25" s="864" t="s">
        <v>63</v>
      </c>
      <c r="V25" s="864" t="s">
        <v>713</v>
      </c>
      <c r="W25" s="864"/>
      <c r="X25" s="864"/>
      <c r="Y25" s="864"/>
      <c r="Z25" s="864"/>
      <c r="AA25" s="864"/>
      <c r="AB25" s="864"/>
      <c r="AC25" s="864"/>
      <c r="AD25" s="873" t="s">
        <v>714</v>
      </c>
      <c r="AE25" s="873"/>
      <c r="AF25" s="873"/>
      <c r="AG25" s="864" t="s">
        <v>715</v>
      </c>
      <c r="AH25" s="864"/>
      <c r="AI25" s="864"/>
      <c r="AJ25" s="864"/>
      <c r="AK25" s="864"/>
      <c r="AL25" s="864"/>
      <c r="AM25" s="864"/>
      <c r="AN25" s="864"/>
    </row>
    <row r="26" spans="15:40" ht="16.5" x14ac:dyDescent="0.25">
      <c r="O26" s="864"/>
      <c r="P26" s="864"/>
      <c r="Q26" s="864"/>
      <c r="R26" s="864"/>
      <c r="S26" s="864"/>
      <c r="T26" s="864"/>
      <c r="U26" s="864"/>
      <c r="V26" s="864"/>
      <c r="W26" s="864"/>
      <c r="X26" s="864"/>
      <c r="Y26" s="864"/>
      <c r="Z26" s="864"/>
      <c r="AA26" s="864"/>
      <c r="AB26" s="864"/>
      <c r="AC26" s="864"/>
      <c r="AD26" s="550" t="s">
        <v>716</v>
      </c>
      <c r="AE26" s="551" t="s">
        <v>717</v>
      </c>
      <c r="AF26" s="551" t="s">
        <v>718</v>
      </c>
      <c r="AG26" s="864"/>
      <c r="AH26" s="864"/>
      <c r="AI26" s="864"/>
      <c r="AJ26" s="864"/>
      <c r="AK26" s="864"/>
      <c r="AL26" s="864"/>
      <c r="AM26" s="864"/>
      <c r="AN26" s="864"/>
    </row>
    <row r="27" spans="15:40" x14ac:dyDescent="0.25">
      <c r="O27" s="4" t="s">
        <v>719</v>
      </c>
      <c r="P27" s="552">
        <v>100</v>
      </c>
      <c r="Q27" s="4"/>
      <c r="R27" s="4"/>
      <c r="S27" s="4"/>
      <c r="T27" s="4">
        <v>1</v>
      </c>
      <c r="U27" s="4" t="s">
        <v>301</v>
      </c>
      <c r="V27" s="4"/>
      <c r="W27" s="553"/>
      <c r="X27" s="553"/>
      <c r="Y27" s="553"/>
      <c r="Z27" s="553">
        <v>2</v>
      </c>
      <c r="AA27" s="553">
        <v>1</v>
      </c>
      <c r="AB27" s="553">
        <v>0</v>
      </c>
      <c r="AC27" s="553">
        <v>0</v>
      </c>
      <c r="AD27" s="554">
        <f>14.17-1.3</f>
        <v>12.87</v>
      </c>
      <c r="AE27" s="554">
        <f>1.3</f>
        <v>1.3</v>
      </c>
      <c r="AF27" s="554">
        <f>AD27+AE27</f>
        <v>14.17</v>
      </c>
      <c r="AG27" s="4"/>
      <c r="AH27" s="4"/>
      <c r="AI27" s="4"/>
      <c r="AJ27" s="4"/>
      <c r="AK27" s="553"/>
      <c r="AL27" s="553">
        <v>2</v>
      </c>
      <c r="AM27" s="553">
        <v>9</v>
      </c>
      <c r="AN27" s="553">
        <v>8</v>
      </c>
    </row>
    <row r="28" spans="15:40" x14ac:dyDescent="0.25">
      <c r="O28" s="4" t="s">
        <v>719</v>
      </c>
      <c r="P28" s="552" t="s">
        <v>720</v>
      </c>
      <c r="Q28" s="4"/>
      <c r="R28" s="4"/>
      <c r="S28" s="4"/>
      <c r="T28" s="4">
        <v>1</v>
      </c>
      <c r="U28" s="4" t="s">
        <v>721</v>
      </c>
      <c r="V28" s="4"/>
      <c r="W28" s="553"/>
      <c r="X28" s="553"/>
      <c r="Y28" s="553"/>
      <c r="Z28" s="553">
        <v>2</v>
      </c>
      <c r="AA28" s="553">
        <v>1</v>
      </c>
      <c r="AB28" s="553">
        <v>0</v>
      </c>
      <c r="AC28" s="553">
        <v>0</v>
      </c>
      <c r="AD28" s="4"/>
      <c r="AE28" s="4"/>
      <c r="AF28" s="553">
        <v>15.45</v>
      </c>
      <c r="AG28" s="4"/>
      <c r="AH28" s="4"/>
      <c r="AI28" s="4"/>
      <c r="AJ28" s="4"/>
      <c r="AK28" s="553"/>
      <c r="AL28" s="553">
        <v>3</v>
      </c>
      <c r="AM28" s="553">
        <v>2</v>
      </c>
      <c r="AN28" s="553">
        <v>4</v>
      </c>
    </row>
    <row r="29" spans="15:40" x14ac:dyDescent="0.25">
      <c r="O29" s="4"/>
      <c r="P29" s="555">
        <v>12</v>
      </c>
      <c r="Q29" s="4"/>
      <c r="R29" s="4"/>
      <c r="S29" s="4"/>
      <c r="T29" s="4">
        <v>0</v>
      </c>
      <c r="U29" s="4"/>
      <c r="V29" s="4"/>
      <c r="W29" s="553"/>
      <c r="X29" s="553"/>
      <c r="Y29" s="553"/>
      <c r="Z29" s="553"/>
      <c r="AA29" s="553"/>
      <c r="AB29" s="553"/>
      <c r="AC29" s="553"/>
      <c r="AD29" s="4"/>
      <c r="AE29" s="4"/>
      <c r="AF29" s="553">
        <v>20</v>
      </c>
      <c r="AG29" s="4"/>
      <c r="AH29" s="4"/>
      <c r="AI29" s="4"/>
      <c r="AJ29" s="4"/>
      <c r="AK29" s="553"/>
      <c r="AL29" s="553"/>
      <c r="AM29" s="553"/>
      <c r="AN29" s="553"/>
    </row>
    <row r="39" spans="2:2" x14ac:dyDescent="0.25">
      <c r="B39" t="s">
        <v>1084</v>
      </c>
    </row>
  </sheetData>
  <mergeCells count="7">
    <mergeCell ref="AG25:AN26"/>
    <mergeCell ref="O25:O26"/>
    <mergeCell ref="P25:P26"/>
    <mergeCell ref="Q25:T26"/>
    <mergeCell ref="U25:U26"/>
    <mergeCell ref="V25:AC26"/>
    <mergeCell ref="AD25:AF2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1" workbookViewId="0">
      <selection activeCell="E51" sqref="E51"/>
    </sheetView>
  </sheetViews>
  <sheetFormatPr baseColWidth="10" defaultColWidth="11.42578125" defaultRowHeight="15.75" x14ac:dyDescent="0.25"/>
  <cols>
    <col min="1" max="1" width="4.85546875" style="26" customWidth="1"/>
    <col min="2" max="2" width="2.42578125" style="26" customWidth="1"/>
    <col min="3" max="3" width="31.5703125" style="26" customWidth="1"/>
    <col min="4" max="4" width="29.5703125" style="26" customWidth="1"/>
    <col min="5" max="5" width="28.5703125" style="26" customWidth="1"/>
    <col min="6" max="6" width="5.140625" style="26" customWidth="1"/>
    <col min="7" max="7" width="33.28515625" style="186" customWidth="1"/>
    <col min="8" max="8" width="18.42578125" style="186" customWidth="1"/>
    <col min="9" max="10" width="11.42578125" style="26" hidden="1" customWidth="1"/>
    <col min="11" max="11" width="19.140625" style="26" hidden="1" customWidth="1"/>
    <col min="12" max="16384" width="11.42578125" style="26"/>
  </cols>
  <sheetData>
    <row r="1" spans="3:13" ht="12.75" customHeight="1" x14ac:dyDescent="0.25"/>
    <row r="2" spans="3:13" x14ac:dyDescent="0.25">
      <c r="C2" s="385" t="s">
        <v>316</v>
      </c>
    </row>
    <row r="3" spans="3:13" ht="12.75" customHeight="1" x14ac:dyDescent="0.25"/>
    <row r="4" spans="3:13" ht="21.75" customHeight="1" x14ac:dyDescent="0.25">
      <c r="C4" s="386" t="s">
        <v>317</v>
      </c>
      <c r="D4" s="423"/>
      <c r="E4" s="423"/>
      <c r="F4" s="423"/>
      <c r="G4" s="875" t="s">
        <v>703</v>
      </c>
      <c r="H4" s="875"/>
    </row>
    <row r="5" spans="3:13" ht="21.75" customHeight="1" x14ac:dyDescent="0.25">
      <c r="C5" s="387" t="s">
        <v>318</v>
      </c>
      <c r="G5" s="876" t="s">
        <v>704</v>
      </c>
      <c r="H5" s="876"/>
    </row>
    <row r="6" spans="3:13" ht="21.75" customHeight="1" x14ac:dyDescent="0.25">
      <c r="C6" s="387" t="s">
        <v>319</v>
      </c>
      <c r="G6" s="877">
        <v>4980785750020</v>
      </c>
      <c r="H6" s="877"/>
    </row>
    <row r="7" spans="3:13" ht="21.75" customHeight="1" x14ac:dyDescent="0.25">
      <c r="C7" s="387" t="s">
        <v>320</v>
      </c>
      <c r="G7" s="875" t="s">
        <v>705</v>
      </c>
      <c r="H7" s="875"/>
    </row>
    <row r="8" spans="3:13" ht="51.75" customHeight="1" x14ac:dyDescent="0.25">
      <c r="C8" s="387" t="s">
        <v>321</v>
      </c>
      <c r="G8" s="878" t="s">
        <v>305</v>
      </c>
      <c r="H8" s="879"/>
      <c r="I8" s="880"/>
    </row>
    <row r="9" spans="3:13" x14ac:dyDescent="0.25">
      <c r="C9" s="388" t="s">
        <v>322</v>
      </c>
      <c r="D9" s="424"/>
      <c r="E9" s="424"/>
      <c r="F9" s="424"/>
      <c r="G9" s="874">
        <v>40</v>
      </c>
      <c r="H9" s="874"/>
    </row>
    <row r="10" spans="3:13" x14ac:dyDescent="0.25">
      <c r="C10" s="888"/>
      <c r="D10" s="888"/>
      <c r="E10" s="888"/>
      <c r="F10" s="888"/>
      <c r="G10" s="888"/>
      <c r="H10" s="888"/>
    </row>
    <row r="11" spans="3:13" ht="28.5" customHeight="1" x14ac:dyDescent="0.25">
      <c r="C11" s="389"/>
      <c r="D11" s="390"/>
      <c r="E11" s="889" t="s">
        <v>63</v>
      </c>
      <c r="F11" s="889"/>
      <c r="G11" s="391" t="s">
        <v>89</v>
      </c>
      <c r="H11" s="391" t="s">
        <v>90</v>
      </c>
    </row>
    <row r="12" spans="3:13" ht="20.25" customHeight="1" x14ac:dyDescent="0.25">
      <c r="C12" s="882" t="s">
        <v>390</v>
      </c>
      <c r="D12" s="882"/>
      <c r="E12" s="883"/>
      <c r="F12" s="884"/>
      <c r="G12" s="486">
        <v>0.01</v>
      </c>
      <c r="H12" s="486">
        <v>0.02</v>
      </c>
      <c r="I12" s="394"/>
      <c r="J12" s="394"/>
      <c r="K12" s="394"/>
      <c r="L12" s="394"/>
      <c r="M12" s="394"/>
    </row>
    <row r="13" spans="3:13" ht="20.25" customHeight="1" x14ac:dyDescent="0.25">
      <c r="C13" s="882" t="s">
        <v>391</v>
      </c>
      <c r="D13" s="882"/>
      <c r="E13" s="882"/>
      <c r="F13" s="882"/>
      <c r="G13" s="486"/>
      <c r="H13" s="486">
        <v>0.02</v>
      </c>
      <c r="I13" s="394"/>
      <c r="J13" s="394"/>
      <c r="K13" s="394"/>
      <c r="L13" s="394"/>
      <c r="M13" s="394"/>
    </row>
    <row r="14" spans="3:13" ht="20.25" hidden="1" customHeight="1" x14ac:dyDescent="0.25">
      <c r="C14" s="882"/>
      <c r="D14" s="882"/>
      <c r="E14" s="882"/>
      <c r="F14" s="882"/>
      <c r="G14" s="486"/>
      <c r="H14" s="486"/>
      <c r="I14" s="394"/>
      <c r="J14" s="394"/>
      <c r="K14" s="394"/>
      <c r="L14" s="394"/>
      <c r="M14" s="394"/>
    </row>
    <row r="15" spans="3:13" ht="20.25" customHeight="1" x14ac:dyDescent="0.25">
      <c r="C15" s="882" t="s">
        <v>203</v>
      </c>
      <c r="D15" s="882"/>
      <c r="E15" s="882" t="s">
        <v>323</v>
      </c>
      <c r="F15" s="882"/>
      <c r="G15" s="546">
        <v>0.01</v>
      </c>
      <c r="H15" s="546">
        <v>0.02</v>
      </c>
      <c r="I15" s="394"/>
      <c r="J15" s="394"/>
      <c r="K15" s="394"/>
      <c r="L15" s="394"/>
      <c r="M15" s="394"/>
    </row>
    <row r="16" spans="3:13" ht="20.25" customHeight="1" x14ac:dyDescent="0.25">
      <c r="C16" s="882" t="s">
        <v>324</v>
      </c>
      <c r="D16" s="882"/>
      <c r="E16" s="882" t="s">
        <v>323</v>
      </c>
      <c r="F16" s="882"/>
      <c r="G16" s="547"/>
      <c r="H16" s="546">
        <v>0.02</v>
      </c>
      <c r="I16" s="394"/>
      <c r="J16" s="394"/>
      <c r="K16" s="394"/>
      <c r="L16" s="394"/>
      <c r="M16" s="394"/>
    </row>
    <row r="17" spans="3:13" ht="20.25" customHeight="1" x14ac:dyDescent="0.25">
      <c r="C17" s="882" t="s">
        <v>398</v>
      </c>
      <c r="D17" s="882"/>
      <c r="E17" s="882"/>
      <c r="F17" s="882"/>
      <c r="G17" s="531"/>
      <c r="H17" s="531"/>
      <c r="I17" s="394"/>
      <c r="J17" s="394"/>
      <c r="K17" s="394"/>
      <c r="L17" s="394"/>
      <c r="M17" s="394"/>
    </row>
    <row r="18" spans="3:13" ht="20.25" customHeight="1" x14ac:dyDescent="0.25">
      <c r="C18" s="882" t="s">
        <v>392</v>
      </c>
      <c r="D18" s="882"/>
      <c r="E18" s="882" t="s">
        <v>393</v>
      </c>
      <c r="F18" s="882"/>
      <c r="G18" s="531"/>
      <c r="H18" s="531"/>
      <c r="I18" s="394"/>
      <c r="J18" s="394"/>
      <c r="K18" s="394"/>
      <c r="L18" s="394"/>
      <c r="M18" s="394"/>
    </row>
    <row r="19" spans="3:13" ht="20.25" hidden="1" customHeight="1" x14ac:dyDescent="0.25">
      <c r="C19" s="882"/>
      <c r="D19" s="882"/>
      <c r="E19" s="882"/>
      <c r="F19" s="882"/>
      <c r="G19" s="393"/>
      <c r="H19" s="393"/>
      <c r="I19" s="394"/>
      <c r="J19" s="394"/>
      <c r="K19" s="394"/>
      <c r="L19" s="395" t="s">
        <v>325</v>
      </c>
      <c r="M19" s="394"/>
    </row>
    <row r="20" spans="3:13" ht="20.25" hidden="1" customHeight="1" x14ac:dyDescent="0.25">
      <c r="C20" s="882"/>
      <c r="D20" s="882"/>
      <c r="E20" s="883"/>
      <c r="F20" s="884"/>
      <c r="G20" s="393"/>
      <c r="H20" s="393">
        <v>1.4999999999999999E-2</v>
      </c>
      <c r="I20" s="394"/>
      <c r="J20" s="394"/>
      <c r="K20" s="394"/>
      <c r="L20" s="395"/>
      <c r="M20" s="394"/>
    </row>
    <row r="21" spans="3:13" ht="20.25" customHeight="1" x14ac:dyDescent="0.25">
      <c r="C21" s="882" t="s">
        <v>326</v>
      </c>
      <c r="D21" s="882"/>
      <c r="E21" s="882" t="s">
        <v>323</v>
      </c>
      <c r="F21" s="882"/>
      <c r="G21" s="393"/>
      <c r="H21" s="486">
        <v>1.2999999999999999E-2</v>
      </c>
      <c r="I21" s="394"/>
      <c r="J21" s="394"/>
      <c r="K21" s="394"/>
      <c r="L21" s="394"/>
      <c r="M21" s="394"/>
    </row>
    <row r="22" spans="3:13" ht="20.25" customHeight="1" x14ac:dyDescent="0.25">
      <c r="C22" s="882" t="s">
        <v>327</v>
      </c>
      <c r="D22" s="882"/>
      <c r="E22" s="882" t="s">
        <v>323</v>
      </c>
      <c r="F22" s="882"/>
      <c r="G22" s="393"/>
      <c r="H22" s="486">
        <v>6.0000000000000001E-3</v>
      </c>
      <c r="I22" s="394"/>
      <c r="J22" s="394"/>
      <c r="K22" s="394"/>
      <c r="L22" s="394"/>
      <c r="M22" s="394"/>
    </row>
    <row r="23" spans="3:13" ht="16.5" customHeight="1" x14ac:dyDescent="0.25">
      <c r="G23" s="711"/>
      <c r="I23" s="394"/>
      <c r="J23" s="394"/>
      <c r="K23" s="394"/>
      <c r="L23" s="394"/>
      <c r="M23" s="394"/>
    </row>
    <row r="24" spans="3:13" x14ac:dyDescent="0.25">
      <c r="G24" s="711"/>
      <c r="I24" s="394"/>
      <c r="J24" s="394"/>
      <c r="K24" s="394"/>
      <c r="L24" s="396"/>
      <c r="M24" s="394"/>
    </row>
    <row r="25" spans="3:13" x14ac:dyDescent="0.25">
      <c r="G25" s="711"/>
      <c r="H25" s="711"/>
      <c r="I25" s="394"/>
      <c r="J25" s="394"/>
      <c r="K25" s="394"/>
      <c r="L25" s="396"/>
      <c r="M25" s="394"/>
    </row>
    <row r="26" spans="3:13" x14ac:dyDescent="0.25">
      <c r="C26" s="386" t="s">
        <v>328</v>
      </c>
      <c r="D26" s="397"/>
      <c r="E26" s="384" t="s">
        <v>200</v>
      </c>
    </row>
    <row r="27" spans="3:13" x14ac:dyDescent="0.25">
      <c r="C27" s="387" t="s">
        <v>329</v>
      </c>
      <c r="D27" s="398"/>
      <c r="E27" s="482" t="s">
        <v>709</v>
      </c>
    </row>
    <row r="28" spans="3:13" x14ac:dyDescent="0.25">
      <c r="C28" s="387" t="s">
        <v>318</v>
      </c>
      <c r="D28" s="398"/>
      <c r="E28" s="548" t="s">
        <v>706</v>
      </c>
    </row>
    <row r="29" spans="3:13" x14ac:dyDescent="0.25">
      <c r="C29" s="387" t="s">
        <v>330</v>
      </c>
      <c r="D29" s="398"/>
      <c r="E29" s="482" t="s">
        <v>707</v>
      </c>
    </row>
    <row r="30" spans="3:13" x14ac:dyDescent="0.25">
      <c r="C30" s="387" t="s">
        <v>331</v>
      </c>
      <c r="D30" s="398"/>
      <c r="E30" s="482">
        <v>290</v>
      </c>
    </row>
    <row r="31" spans="3:13" x14ac:dyDescent="0.25">
      <c r="C31" s="387" t="s">
        <v>332</v>
      </c>
      <c r="D31" s="398"/>
      <c r="E31" s="549" t="s">
        <v>708</v>
      </c>
    </row>
    <row r="32" spans="3:13" x14ac:dyDescent="0.25">
      <c r="C32" s="387" t="s">
        <v>333</v>
      </c>
      <c r="D32" s="398"/>
      <c r="E32" s="482" t="s">
        <v>229</v>
      </c>
    </row>
    <row r="33" spans="3:6" x14ac:dyDescent="0.25">
      <c r="C33" s="387" t="s">
        <v>334</v>
      </c>
      <c r="D33" s="398"/>
      <c r="E33" s="482">
        <v>2</v>
      </c>
    </row>
    <row r="34" spans="3:6" x14ac:dyDescent="0.25">
      <c r="C34" s="388" t="s">
        <v>394</v>
      </c>
      <c r="D34" s="399"/>
      <c r="E34" s="50"/>
    </row>
    <row r="35" spans="3:6" hidden="1" x14ac:dyDescent="0.25"/>
    <row r="36" spans="3:6" x14ac:dyDescent="0.25">
      <c r="E36" s="394"/>
    </row>
    <row r="37" spans="3:6" ht="24" customHeight="1" x14ac:dyDescent="0.25">
      <c r="C37" s="886" t="s">
        <v>91</v>
      </c>
      <c r="D37" s="887"/>
      <c r="E37" s="384" t="s">
        <v>200</v>
      </c>
      <c r="F37" s="394"/>
    </row>
    <row r="38" spans="3:6" ht="24" customHeight="1" x14ac:dyDescent="0.25">
      <c r="C38" s="386" t="s">
        <v>335</v>
      </c>
      <c r="D38" s="397"/>
      <c r="E38" s="483">
        <v>46296</v>
      </c>
      <c r="F38" s="400"/>
    </row>
    <row r="39" spans="3:6" ht="24" customHeight="1" x14ac:dyDescent="0.25">
      <c r="C39" s="387" t="s">
        <v>336</v>
      </c>
      <c r="D39" s="398"/>
      <c r="E39" s="483">
        <v>46326</v>
      </c>
      <c r="F39" s="400"/>
    </row>
    <row r="40" spans="3:6" ht="24" customHeight="1" x14ac:dyDescent="0.25">
      <c r="C40" s="387" t="s">
        <v>337</v>
      </c>
      <c r="D40" s="398"/>
      <c r="E40" s="483">
        <v>46326</v>
      </c>
      <c r="F40" s="400"/>
    </row>
    <row r="41" spans="3:6" ht="24" customHeight="1" x14ac:dyDescent="0.25">
      <c r="C41" s="387" t="s">
        <v>315</v>
      </c>
      <c r="D41" s="398"/>
      <c r="E41" s="484">
        <v>2000</v>
      </c>
      <c r="F41" s="401"/>
    </row>
    <row r="42" spans="3:6" ht="24" customHeight="1" x14ac:dyDescent="0.25">
      <c r="C42" s="387" t="s">
        <v>314</v>
      </c>
      <c r="D42" s="398"/>
      <c r="E42" s="485">
        <v>151.66999999999999</v>
      </c>
      <c r="F42" s="401"/>
    </row>
    <row r="43" spans="3:6" ht="24" customHeight="1" x14ac:dyDescent="0.25">
      <c r="C43" s="387" t="s">
        <v>303</v>
      </c>
      <c r="D43" s="398"/>
      <c r="E43" s="485">
        <f>'TABLE DES TAUX 2026 '!C54</f>
        <v>12.02</v>
      </c>
      <c r="F43" s="401"/>
    </row>
    <row r="44" spans="3:6" ht="24" customHeight="1" x14ac:dyDescent="0.25">
      <c r="C44" s="387" t="s">
        <v>338</v>
      </c>
      <c r="D44" s="398"/>
      <c r="E44" s="485">
        <f>'TABLE DES TAUX 2026 '!C51</f>
        <v>4005</v>
      </c>
      <c r="F44" s="401"/>
    </row>
    <row r="45" spans="3:6" ht="19.5" customHeight="1" x14ac:dyDescent="0.25">
      <c r="C45" s="387" t="s">
        <v>395</v>
      </c>
      <c r="D45" s="398"/>
      <c r="E45" s="485">
        <v>10</v>
      </c>
      <c r="F45" s="401"/>
    </row>
    <row r="46" spans="3:6" ht="19.5" customHeight="1" x14ac:dyDescent="0.25">
      <c r="C46" s="387" t="s">
        <v>13</v>
      </c>
      <c r="D46" s="398"/>
      <c r="E46" s="485">
        <f>E42+E45</f>
        <v>161.66999999999999</v>
      </c>
      <c r="F46" s="402"/>
    </row>
    <row r="47" spans="3:6" ht="19.5" customHeight="1" x14ac:dyDescent="0.25">
      <c r="C47" s="387" t="s">
        <v>339</v>
      </c>
      <c r="D47" s="398"/>
      <c r="E47" s="485">
        <v>22</v>
      </c>
      <c r="F47" s="402"/>
    </row>
    <row r="48" spans="3:6" ht="19.5" customHeight="1" x14ac:dyDescent="0.25">
      <c r="C48" s="387" t="s">
        <v>340</v>
      </c>
      <c r="D48" s="398"/>
      <c r="E48" s="485">
        <v>6</v>
      </c>
      <c r="F48" s="403"/>
    </row>
    <row r="49" spans="2:6" ht="19.5" customHeight="1" x14ac:dyDescent="0.25">
      <c r="C49" s="387" t="s">
        <v>341</v>
      </c>
      <c r="D49" s="398"/>
      <c r="E49" s="485">
        <v>6</v>
      </c>
      <c r="F49" s="403"/>
    </row>
    <row r="50" spans="2:6" ht="19.5" customHeight="1" x14ac:dyDescent="0.25">
      <c r="C50" s="387" t="s">
        <v>342</v>
      </c>
      <c r="D50" s="398"/>
      <c r="E50" s="485">
        <f>'TABLE DES TAUX 2026 '!C66/2</f>
        <v>45.4</v>
      </c>
      <c r="F50" s="403"/>
    </row>
    <row r="51" spans="2:6" ht="19.5" customHeight="1" x14ac:dyDescent="0.25">
      <c r="C51" s="388" t="s">
        <v>396</v>
      </c>
      <c r="D51" s="399"/>
      <c r="E51" s="485"/>
      <c r="F51" s="403"/>
    </row>
    <row r="52" spans="2:6" ht="19.5" hidden="1" customHeight="1" x14ac:dyDescent="0.25">
      <c r="B52" s="385" t="s">
        <v>343</v>
      </c>
      <c r="E52" s="404">
        <v>211</v>
      </c>
    </row>
    <row r="53" spans="2:6" ht="24" hidden="1" customHeight="1" x14ac:dyDescent="0.25"/>
    <row r="54" spans="2:6" ht="24" hidden="1" customHeight="1" x14ac:dyDescent="0.25">
      <c r="C54" s="26" t="s">
        <v>344</v>
      </c>
    </row>
    <row r="55" spans="2:6" ht="24" hidden="1" customHeight="1" x14ac:dyDescent="0.25"/>
    <row r="56" spans="2:6" ht="24" hidden="1" customHeight="1" x14ac:dyDescent="0.25">
      <c r="D56" s="26" t="s">
        <v>345</v>
      </c>
    </row>
    <row r="57" spans="2:6" ht="24" hidden="1" customHeight="1" x14ac:dyDescent="0.25"/>
    <row r="58" spans="2:6" ht="24" hidden="1" customHeight="1" x14ac:dyDescent="0.25">
      <c r="D58" s="26" t="s">
        <v>346</v>
      </c>
    </row>
    <row r="59" spans="2:6" ht="24" hidden="1" customHeight="1" x14ac:dyDescent="0.25"/>
    <row r="60" spans="2:6" ht="24" hidden="1" customHeight="1" x14ac:dyDescent="0.25">
      <c r="C60" s="26" t="s">
        <v>347</v>
      </c>
    </row>
    <row r="61" spans="2:6" ht="24" hidden="1" customHeight="1" x14ac:dyDescent="0.25"/>
    <row r="62" spans="2:6" ht="24" hidden="1" customHeight="1" x14ac:dyDescent="0.25">
      <c r="D62" s="26" t="s">
        <v>348</v>
      </c>
    </row>
    <row r="63" spans="2:6" ht="24" hidden="1" customHeight="1" x14ac:dyDescent="0.25">
      <c r="D63" s="26" t="s">
        <v>349</v>
      </c>
    </row>
    <row r="64" spans="2:6" ht="24" hidden="1" customHeight="1" x14ac:dyDescent="0.25">
      <c r="D64" s="26" t="s">
        <v>350</v>
      </c>
    </row>
    <row r="65" spans="1:11" ht="24" hidden="1" customHeight="1" x14ac:dyDescent="0.25">
      <c r="D65" s="26" t="s">
        <v>351</v>
      </c>
    </row>
    <row r="66" spans="1:11" ht="24" hidden="1" customHeight="1" x14ac:dyDescent="0.25">
      <c r="D66" s="26" t="s">
        <v>352</v>
      </c>
    </row>
    <row r="67" spans="1:11" ht="24" hidden="1" customHeight="1" x14ac:dyDescent="0.25"/>
    <row r="68" spans="1:11" ht="24" hidden="1" customHeight="1" x14ac:dyDescent="0.25">
      <c r="C68" s="26" t="s">
        <v>353</v>
      </c>
    </row>
    <row r="69" spans="1:11" ht="24" hidden="1" customHeight="1" x14ac:dyDescent="0.25">
      <c r="C69" s="26" t="s">
        <v>354</v>
      </c>
    </row>
    <row r="70" spans="1:11" ht="24" hidden="1" customHeight="1" x14ac:dyDescent="0.25"/>
    <row r="71" spans="1:11" ht="24" hidden="1" customHeight="1" x14ac:dyDescent="0.25">
      <c r="D71" s="26" t="s">
        <v>355</v>
      </c>
    </row>
    <row r="72" spans="1:11" ht="24" hidden="1" customHeight="1" x14ac:dyDescent="0.25"/>
    <row r="73" spans="1:11" ht="24" hidden="1" customHeight="1" x14ac:dyDescent="0.25">
      <c r="C73" s="26" t="s">
        <v>356</v>
      </c>
    </row>
    <row r="74" spans="1:11" ht="24" hidden="1" customHeight="1" x14ac:dyDescent="0.25"/>
    <row r="75" spans="1:11" ht="24" hidden="1" customHeight="1" x14ac:dyDescent="0.25">
      <c r="E75" s="392" t="s">
        <v>63</v>
      </c>
      <c r="F75" s="392" t="s">
        <v>357</v>
      </c>
      <c r="G75" s="392" t="s">
        <v>94</v>
      </c>
      <c r="H75" s="392" t="s">
        <v>358</v>
      </c>
      <c r="I75" s="392" t="s">
        <v>88</v>
      </c>
    </row>
    <row r="76" spans="1:11" ht="24" hidden="1" customHeight="1" x14ac:dyDescent="0.25">
      <c r="B76" s="392" t="s">
        <v>359</v>
      </c>
      <c r="C76" s="885" t="s">
        <v>51</v>
      </c>
      <c r="D76" s="885"/>
      <c r="E76" s="405"/>
      <c r="F76" s="406">
        <v>6.8000000000000005E-2</v>
      </c>
      <c r="G76" s="405"/>
      <c r="H76" s="405"/>
      <c r="I76" s="405"/>
      <c r="J76" s="407"/>
      <c r="K76" s="407"/>
    </row>
    <row r="77" spans="1:11" ht="24" hidden="1" customHeight="1" x14ac:dyDescent="0.25">
      <c r="B77" s="392" t="s">
        <v>360</v>
      </c>
      <c r="C77" s="885" t="s">
        <v>52</v>
      </c>
      <c r="D77" s="885"/>
      <c r="E77" s="405"/>
      <c r="F77" s="406">
        <v>6.8000000000000005E-2</v>
      </c>
      <c r="G77" s="405"/>
      <c r="H77" s="405"/>
      <c r="I77" s="405"/>
      <c r="J77" s="407"/>
      <c r="K77" s="407"/>
    </row>
    <row r="78" spans="1:11" ht="24" hidden="1" customHeight="1" x14ac:dyDescent="0.25">
      <c r="B78" s="392" t="s">
        <v>361</v>
      </c>
      <c r="C78" s="885" t="s">
        <v>53</v>
      </c>
      <c r="D78" s="885"/>
      <c r="E78" s="405"/>
      <c r="F78" s="406">
        <v>2.9000000000000001E-2</v>
      </c>
      <c r="G78" s="405"/>
      <c r="H78" s="405"/>
      <c r="I78" s="405"/>
      <c r="J78" s="407"/>
      <c r="K78" s="407"/>
    </row>
    <row r="79" spans="1:11" ht="24" hidden="1" customHeight="1" x14ac:dyDescent="0.25">
      <c r="A79" s="881"/>
      <c r="B79" s="881"/>
      <c r="E79" s="405"/>
      <c r="F79" s="405"/>
      <c r="G79" s="405"/>
      <c r="H79" s="405"/>
      <c r="I79" s="408"/>
      <c r="J79" s="407"/>
      <c r="K79" s="407"/>
    </row>
    <row r="80" spans="1:11" ht="24" hidden="1" customHeight="1" x14ac:dyDescent="0.25">
      <c r="B80" s="392" t="s">
        <v>352</v>
      </c>
      <c r="C80" s="885" t="s">
        <v>54</v>
      </c>
      <c r="D80" s="885"/>
      <c r="E80" s="405"/>
      <c r="F80" s="409"/>
      <c r="G80" s="410"/>
      <c r="H80" s="411"/>
      <c r="I80" s="408"/>
      <c r="J80" s="407"/>
      <c r="K80" s="407"/>
    </row>
    <row r="81" spans="2:11" ht="24" hidden="1" customHeight="1" x14ac:dyDescent="0.25">
      <c r="B81" s="412"/>
      <c r="C81" s="413"/>
      <c r="D81" s="413"/>
      <c r="E81" s="414"/>
      <c r="F81" s="415"/>
      <c r="G81" s="416"/>
      <c r="H81" s="417"/>
      <c r="I81" s="418"/>
      <c r="J81" s="407"/>
      <c r="K81" s="407"/>
    </row>
    <row r="82" spans="2:11" ht="24" hidden="1" customHeight="1" x14ac:dyDescent="0.25">
      <c r="C82" s="26" t="s">
        <v>362</v>
      </c>
    </row>
    <row r="83" spans="2:11" ht="24" hidden="1" customHeight="1" x14ac:dyDescent="0.25"/>
    <row r="84" spans="2:11" ht="24" hidden="1" customHeight="1" x14ac:dyDescent="0.25">
      <c r="D84" s="26" t="s">
        <v>363</v>
      </c>
    </row>
    <row r="85" spans="2:11" ht="24" hidden="1" customHeight="1" x14ac:dyDescent="0.25"/>
    <row r="86" spans="2:11" ht="24" hidden="1" customHeight="1" x14ac:dyDescent="0.25">
      <c r="B86" s="26" t="s">
        <v>364</v>
      </c>
    </row>
    <row r="87" spans="2:11" ht="24" hidden="1" customHeight="1" x14ac:dyDescent="0.25"/>
    <row r="88" spans="2:11" ht="24" hidden="1" customHeight="1" x14ac:dyDescent="0.25">
      <c r="C88" s="26" t="s">
        <v>365</v>
      </c>
    </row>
    <row r="89" spans="2:11" ht="24" hidden="1" customHeight="1" x14ac:dyDescent="0.25"/>
    <row r="90" spans="2:11" ht="24" hidden="1" customHeight="1" x14ac:dyDescent="0.25">
      <c r="D90" s="26" t="s">
        <v>366</v>
      </c>
    </row>
    <row r="91" spans="2:11" ht="24" hidden="1" customHeight="1" x14ac:dyDescent="0.25">
      <c r="D91" s="26" t="s">
        <v>345</v>
      </c>
    </row>
    <row r="92" spans="2:11" ht="24" hidden="1" customHeight="1" x14ac:dyDescent="0.25">
      <c r="D92" s="26" t="s">
        <v>367</v>
      </c>
    </row>
    <row r="93" spans="2:11" ht="24" hidden="1" customHeight="1" x14ac:dyDescent="0.25">
      <c r="D93" s="26" t="s">
        <v>368</v>
      </c>
    </row>
    <row r="94" spans="2:11" ht="24" hidden="1" customHeight="1" x14ac:dyDescent="0.25">
      <c r="D94" s="26" t="s">
        <v>369</v>
      </c>
    </row>
    <row r="95" spans="2:11" ht="24" hidden="1" customHeight="1" x14ac:dyDescent="0.25"/>
    <row r="96" spans="2:11" ht="24" hidden="1" customHeight="1" x14ac:dyDescent="0.25">
      <c r="C96" s="26" t="s">
        <v>370</v>
      </c>
    </row>
    <row r="97" spans="2:5" ht="24" hidden="1" customHeight="1" x14ac:dyDescent="0.25"/>
    <row r="98" spans="2:5" ht="24" hidden="1" customHeight="1" x14ac:dyDescent="0.25">
      <c r="B98" s="385" t="s">
        <v>371</v>
      </c>
      <c r="C98" s="385"/>
    </row>
    <row r="99" spans="2:5" ht="24" hidden="1" customHeight="1" x14ac:dyDescent="0.25"/>
    <row r="100" spans="2:5" ht="24" hidden="1" customHeight="1" x14ac:dyDescent="0.25">
      <c r="C100" s="419" t="s">
        <v>372</v>
      </c>
    </row>
    <row r="101" spans="2:5" ht="24" hidden="1" customHeight="1" x14ac:dyDescent="0.25"/>
    <row r="102" spans="2:5" ht="24" hidden="1" customHeight="1" x14ac:dyDescent="0.25">
      <c r="C102" s="26" t="s">
        <v>373</v>
      </c>
    </row>
    <row r="103" spans="2:5" ht="24" hidden="1" customHeight="1" x14ac:dyDescent="0.25">
      <c r="C103" s="26" t="s">
        <v>374</v>
      </c>
    </row>
    <row r="104" spans="2:5" ht="24" hidden="1" customHeight="1" x14ac:dyDescent="0.25">
      <c r="C104" s="26" t="s">
        <v>375</v>
      </c>
    </row>
    <row r="105" spans="2:5" ht="24" hidden="1" customHeight="1" x14ac:dyDescent="0.25">
      <c r="C105" s="26" t="s">
        <v>376</v>
      </c>
    </row>
    <row r="106" spans="2:5" ht="24" hidden="1" customHeight="1" x14ac:dyDescent="0.25">
      <c r="C106" s="26" t="s">
        <v>377</v>
      </c>
    </row>
    <row r="107" spans="2:5" ht="24" hidden="1" customHeight="1" x14ac:dyDescent="0.25"/>
    <row r="108" spans="2:5" ht="24" hidden="1" customHeight="1" x14ac:dyDescent="0.25"/>
    <row r="109" spans="2:5" ht="24" hidden="1" customHeight="1" x14ac:dyDescent="0.25">
      <c r="B109" s="385" t="s">
        <v>378</v>
      </c>
    </row>
    <row r="110" spans="2:5" ht="24" hidden="1" customHeight="1" x14ac:dyDescent="0.25"/>
    <row r="111" spans="2:5" ht="24" hidden="1" customHeight="1" x14ac:dyDescent="0.25">
      <c r="C111" s="26" t="s">
        <v>379</v>
      </c>
    </row>
    <row r="112" spans="2:5" ht="24" hidden="1" customHeight="1" x14ac:dyDescent="0.25">
      <c r="D112" s="26" t="s">
        <v>380</v>
      </c>
      <c r="E112" s="420">
        <v>2332</v>
      </c>
    </row>
    <row r="113" spans="3:6" ht="24" hidden="1" customHeight="1" x14ac:dyDescent="0.25">
      <c r="D113" s="26" t="s">
        <v>381</v>
      </c>
      <c r="E113" s="420">
        <v>3062</v>
      </c>
    </row>
    <row r="114" spans="3:6" ht="24" hidden="1" customHeight="1" x14ac:dyDescent="0.25"/>
    <row r="115" spans="3:6" ht="24" hidden="1" customHeight="1" x14ac:dyDescent="0.25">
      <c r="C115" s="26" t="s">
        <v>382</v>
      </c>
      <c r="D115" s="26">
        <v>8.3000000000000007</v>
      </c>
    </row>
    <row r="116" spans="3:6" ht="24" hidden="1" customHeight="1" x14ac:dyDescent="0.25">
      <c r="D116" s="26" t="s">
        <v>383</v>
      </c>
    </row>
    <row r="117" spans="3:6" ht="24" hidden="1" customHeight="1" x14ac:dyDescent="0.25">
      <c r="D117" s="26" t="s">
        <v>384</v>
      </c>
      <c r="E117" s="420">
        <f>E30</f>
        <v>290</v>
      </c>
      <c r="F117" s="26">
        <f>E117*D115</f>
        <v>2407</v>
      </c>
    </row>
    <row r="118" spans="3:6" ht="24" hidden="1" customHeight="1" x14ac:dyDescent="0.25">
      <c r="D118" s="26" t="s">
        <v>385</v>
      </c>
      <c r="E118" s="420" t="e">
        <f>#REF!</f>
        <v>#REF!</v>
      </c>
      <c r="F118" s="26" t="e">
        <f>D115*E118</f>
        <v>#REF!</v>
      </c>
    </row>
    <row r="119" spans="3:6" ht="24" hidden="1" customHeight="1" x14ac:dyDescent="0.25"/>
    <row r="120" spans="3:6" ht="24" hidden="1" customHeight="1" x14ac:dyDescent="0.25">
      <c r="E120" s="26" t="s">
        <v>386</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I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12" zoomScale="140" zoomScaleNormal="140" workbookViewId="0">
      <selection activeCell="A13" sqref="A13:XFD33"/>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5" customFormat="1" ht="15.75" customHeight="1" x14ac:dyDescent="0.3">
      <c r="A1" s="900" t="s">
        <v>241</v>
      </c>
      <c r="B1" s="900"/>
      <c r="C1" s="900"/>
      <c r="D1" s="900"/>
      <c r="E1" s="900"/>
      <c r="F1" s="900"/>
      <c r="G1" s="900"/>
      <c r="H1" s="901"/>
      <c r="I1" s="901"/>
      <c r="J1" s="901"/>
    </row>
    <row r="2" spans="1:10" s="25" customFormat="1" ht="15.75" customHeight="1" x14ac:dyDescent="0.3">
      <c r="A2" s="902" t="s">
        <v>0</v>
      </c>
      <c r="B2" s="903"/>
      <c r="C2" s="903"/>
      <c r="D2" s="904"/>
      <c r="E2" s="308"/>
      <c r="F2" s="905" t="s">
        <v>1</v>
      </c>
      <c r="G2" s="906"/>
      <c r="H2" s="906"/>
      <c r="I2" s="906"/>
      <c r="J2" s="907"/>
    </row>
    <row r="3" spans="1:10" s="25" customFormat="1" ht="15.75" customHeight="1" x14ac:dyDescent="0.3">
      <c r="A3" s="309" t="s">
        <v>2</v>
      </c>
      <c r="B3" s="908" t="str">
        <f>'Masque de Saisie'!G4</f>
        <v xml:space="preserve">Pharmacie L et D  de GAALON </v>
      </c>
      <c r="C3" s="909"/>
      <c r="D3" s="910"/>
      <c r="E3" s="310"/>
      <c r="F3" s="311" t="s">
        <v>2</v>
      </c>
      <c r="G3" s="895" t="str">
        <f>'Masque de Saisie'!E26</f>
        <v xml:space="preserve">MARTINO </v>
      </c>
      <c r="H3" s="895"/>
      <c r="I3" s="895"/>
      <c r="J3" s="895"/>
    </row>
    <row r="4" spans="1:10" s="25" customFormat="1" ht="15.75" customHeight="1" x14ac:dyDescent="0.3">
      <c r="A4" s="309" t="s">
        <v>3</v>
      </c>
      <c r="B4" s="908" t="str">
        <f>'Masque de Saisie'!G5</f>
        <v xml:space="preserve">29 Rue Clémenceau  22430 Erquy </v>
      </c>
      <c r="C4" s="909"/>
      <c r="D4" s="910"/>
      <c r="E4" s="310"/>
      <c r="F4" s="311" t="s">
        <v>4</v>
      </c>
      <c r="G4" s="895" t="str">
        <f>'Masque de Saisie'!E27</f>
        <v>Rassa</v>
      </c>
      <c r="H4" s="895"/>
      <c r="I4" s="895"/>
      <c r="J4" s="895"/>
    </row>
    <row r="5" spans="1:10" s="25" customFormat="1" ht="15.75" customHeight="1" x14ac:dyDescent="0.3">
      <c r="A5" s="309"/>
      <c r="B5" s="892"/>
      <c r="C5" s="893"/>
      <c r="D5" s="894"/>
      <c r="E5" s="310"/>
      <c r="F5" s="311" t="s">
        <v>5</v>
      </c>
      <c r="G5" s="895" t="str">
        <f>'Masque de Saisie'!E29</f>
        <v>Préparatrice en Pharmacie</v>
      </c>
      <c r="H5" s="895"/>
      <c r="I5" s="895"/>
      <c r="J5" s="895"/>
    </row>
    <row r="6" spans="1:10" s="25" customFormat="1" ht="15.75" customHeight="1" x14ac:dyDescent="0.3">
      <c r="A6" s="309" t="s">
        <v>6</v>
      </c>
      <c r="B6" s="896">
        <f>'Masque de Saisie'!G6</f>
        <v>4980785750020</v>
      </c>
      <c r="C6" s="897"/>
      <c r="D6" s="898"/>
      <c r="E6" s="312"/>
      <c r="F6" s="311" t="s">
        <v>7</v>
      </c>
      <c r="G6" s="895">
        <f>'Masque de Saisie'!E30</f>
        <v>290</v>
      </c>
      <c r="H6" s="895"/>
      <c r="I6" s="895"/>
      <c r="J6" s="895"/>
    </row>
    <row r="7" spans="1:10" s="25" customFormat="1" ht="15.75" customHeight="1" x14ac:dyDescent="0.3">
      <c r="A7" s="309" t="s">
        <v>8</v>
      </c>
      <c r="B7" s="892" t="str">
        <f>'Masque de Saisie'!G7</f>
        <v>4773Z</v>
      </c>
      <c r="C7" s="893"/>
      <c r="D7" s="894"/>
      <c r="E7" s="310"/>
      <c r="F7" s="311" t="s">
        <v>9</v>
      </c>
      <c r="G7" s="899" t="str">
        <f>'Masque de Saisie'!E31</f>
        <v>2.96.02.297.820. 957</v>
      </c>
      <c r="H7" s="899"/>
      <c r="I7" s="899"/>
      <c r="J7" s="899"/>
    </row>
    <row r="8" spans="1:10" s="25" customFormat="1" ht="15.75" customHeight="1" x14ac:dyDescent="0.3">
      <c r="A8" s="309" t="s">
        <v>10</v>
      </c>
      <c r="B8" s="896"/>
      <c r="C8" s="897"/>
      <c r="D8" s="898"/>
      <c r="E8" s="312"/>
      <c r="F8" s="313" t="s">
        <v>3</v>
      </c>
      <c r="G8" s="895" t="str">
        <f>'Masque de Saisie'!E28</f>
        <v xml:space="preserve">2 Avenue du Val Fleuri 22520 Binic </v>
      </c>
      <c r="H8" s="895"/>
      <c r="I8" s="895"/>
      <c r="J8" s="895"/>
    </row>
    <row r="9" spans="1:10" s="25" customFormat="1" ht="15.75" customHeight="1" x14ac:dyDescent="0.3">
      <c r="A9" s="309" t="s">
        <v>11</v>
      </c>
      <c r="B9" s="314">
        <f>'Masque de Saisie'!G9</f>
        <v>40</v>
      </c>
      <c r="C9" s="914">
        <f>'Masque de Saisie'!E34</f>
        <v>0</v>
      </c>
      <c r="D9" s="894"/>
      <c r="E9" s="310"/>
      <c r="F9" s="915" t="s">
        <v>12</v>
      </c>
      <c r="G9" s="916"/>
      <c r="H9" s="315"/>
      <c r="I9" s="316">
        <f>'Masque de Saisie'!E33</f>
        <v>2</v>
      </c>
      <c r="J9" s="316" t="str">
        <f>'Masque de Saisie'!E32</f>
        <v>C</v>
      </c>
    </row>
    <row r="10" spans="1:10" s="25" customFormat="1" ht="15.75" customHeight="1" x14ac:dyDescent="0.3">
      <c r="A10" s="318" t="s">
        <v>13</v>
      </c>
      <c r="B10" s="319">
        <f>'Masque de Saisie'!E46</f>
        <v>161.66999999999999</v>
      </c>
      <c r="C10" s="316" t="s">
        <v>14</v>
      </c>
      <c r="D10" s="422">
        <f>'Masque de Saisie'!E43</f>
        <v>12.02</v>
      </c>
      <c r="E10" s="310"/>
      <c r="F10" s="892" t="s">
        <v>242</v>
      </c>
      <c r="G10" s="894"/>
      <c r="H10" s="368">
        <f>'Masque de Saisie'!E38</f>
        <v>46296</v>
      </c>
      <c r="I10" s="320" t="s">
        <v>15</v>
      </c>
      <c r="J10" s="368">
        <f>'Masque de Saisie'!E39</f>
        <v>46326</v>
      </c>
    </row>
    <row r="11" spans="1:10" s="25" customFormat="1" ht="33.75" customHeight="1" x14ac:dyDescent="0.3">
      <c r="A11" s="321"/>
      <c r="B11" s="917" t="s">
        <v>305</v>
      </c>
      <c r="C11" s="918"/>
      <c r="D11" s="919"/>
      <c r="E11" s="322"/>
      <c r="F11" s="321" t="s">
        <v>16</v>
      </c>
      <c r="G11" s="369">
        <f>'Masque de Saisie'!E39</f>
        <v>46326</v>
      </c>
      <c r="H11" s="65"/>
      <c r="I11" s="65"/>
      <c r="J11" s="370"/>
    </row>
    <row r="12" spans="1:10" s="25" customFormat="1" ht="15.75" customHeight="1" x14ac:dyDescent="0.3">
      <c r="A12" s="920"/>
      <c r="B12" s="921"/>
      <c r="C12" s="921"/>
      <c r="D12" s="921"/>
      <c r="E12" s="921"/>
      <c r="F12" s="921"/>
      <c r="G12" s="921"/>
      <c r="H12" s="921"/>
      <c r="I12" s="921"/>
      <c r="J12" s="921"/>
    </row>
    <row r="13" spans="1:10" s="25" customFormat="1" ht="15.75" customHeight="1" x14ac:dyDescent="0.3">
      <c r="A13" s="911" t="s">
        <v>17</v>
      </c>
      <c r="B13" s="912"/>
      <c r="C13" s="912"/>
      <c r="D13" s="912"/>
      <c r="E13" s="912"/>
      <c r="F13" s="913"/>
      <c r="G13" s="324">
        <v>151.66999999999999</v>
      </c>
      <c r="H13" s="321" t="s">
        <v>18</v>
      </c>
      <c r="I13" s="325">
        <f>J13/G13</f>
        <v>13.18652337311268</v>
      </c>
      <c r="J13" s="326">
        <f>'Masque de Saisie'!E41</f>
        <v>2000</v>
      </c>
    </row>
    <row r="14" spans="1:10" s="25" customFormat="1" ht="15.75" hidden="1" customHeight="1" x14ac:dyDescent="0.3">
      <c r="A14" s="911" t="s">
        <v>243</v>
      </c>
      <c r="B14" s="912"/>
      <c r="C14" s="912"/>
      <c r="D14" s="912"/>
      <c r="E14" s="912"/>
      <c r="F14" s="913"/>
      <c r="G14" s="321"/>
      <c r="H14" s="321"/>
      <c r="I14" s="325"/>
      <c r="J14" s="326"/>
    </row>
    <row r="15" spans="1:10" s="25" customFormat="1" ht="15.75" hidden="1" customHeight="1" x14ac:dyDescent="0.3">
      <c r="A15" s="911" t="s">
        <v>406</v>
      </c>
      <c r="B15" s="912"/>
      <c r="C15" s="912"/>
      <c r="D15" s="912"/>
      <c r="E15" s="912"/>
      <c r="F15" s="913"/>
      <c r="G15" s="327"/>
      <c r="H15" s="328"/>
      <c r="I15" s="325"/>
      <c r="J15" s="326"/>
    </row>
    <row r="16" spans="1:10" s="25" customFormat="1" ht="20.25" customHeight="1" x14ac:dyDescent="0.3">
      <c r="A16" s="911" t="s">
        <v>407</v>
      </c>
      <c r="B16" s="912"/>
      <c r="C16" s="912"/>
      <c r="D16" s="912"/>
      <c r="E16" s="912"/>
      <c r="F16" s="913"/>
      <c r="G16" s="327"/>
      <c r="H16" s="328"/>
      <c r="I16" s="325"/>
      <c r="J16" s="326">
        <v>100</v>
      </c>
    </row>
    <row r="17" spans="1:10" s="25" customFormat="1" ht="15.75" hidden="1" customHeight="1" x14ac:dyDescent="0.3">
      <c r="A17" s="911" t="s">
        <v>19</v>
      </c>
      <c r="B17" s="912"/>
      <c r="C17" s="912"/>
      <c r="D17" s="912"/>
      <c r="E17" s="912"/>
      <c r="F17" s="913"/>
      <c r="G17" s="327"/>
      <c r="H17" s="328" t="s">
        <v>18</v>
      </c>
      <c r="I17" s="325"/>
      <c r="J17" s="326"/>
    </row>
    <row r="18" spans="1:10" s="25" customFormat="1" ht="15.75" hidden="1" customHeight="1" x14ac:dyDescent="0.3">
      <c r="A18" s="911" t="s">
        <v>244</v>
      </c>
      <c r="B18" s="912"/>
      <c r="C18" s="912"/>
      <c r="D18" s="912"/>
      <c r="E18" s="912"/>
      <c r="F18" s="913"/>
      <c r="G18" s="327"/>
      <c r="H18" s="328" t="s">
        <v>18</v>
      </c>
      <c r="I18" s="325"/>
      <c r="J18" s="326">
        <f t="shared" ref="J18:J21" si="0">ROUND(G18*I18,2)</f>
        <v>0</v>
      </c>
    </row>
    <row r="19" spans="1:10" s="25" customFormat="1" ht="15.75" hidden="1" customHeight="1" x14ac:dyDescent="0.3">
      <c r="A19" s="911" t="s">
        <v>245</v>
      </c>
      <c r="B19" s="912"/>
      <c r="C19" s="912"/>
      <c r="D19" s="912"/>
      <c r="E19" s="912"/>
      <c r="F19" s="913"/>
      <c r="G19" s="327"/>
      <c r="H19" s="328" t="s">
        <v>18</v>
      </c>
      <c r="I19" s="325"/>
      <c r="J19" s="326">
        <f t="shared" si="0"/>
        <v>0</v>
      </c>
    </row>
    <row r="20" spans="1:10" s="25" customFormat="1" ht="45" hidden="1" customHeight="1" x14ac:dyDescent="0.3">
      <c r="A20" s="911" t="s">
        <v>246</v>
      </c>
      <c r="B20" s="912"/>
      <c r="C20" s="912"/>
      <c r="D20" s="912"/>
      <c r="E20" s="912"/>
      <c r="F20" s="913"/>
      <c r="G20" s="327"/>
      <c r="H20" s="328" t="s">
        <v>18</v>
      </c>
      <c r="I20" s="325"/>
      <c r="J20" s="326">
        <f t="shared" si="0"/>
        <v>0</v>
      </c>
    </row>
    <row r="21" spans="1:10" s="25" customFormat="1" ht="24.75" customHeight="1" x14ac:dyDescent="0.3">
      <c r="A21" s="911" t="s">
        <v>247</v>
      </c>
      <c r="B21" s="912"/>
      <c r="C21" s="912"/>
      <c r="D21" s="912"/>
      <c r="E21" s="912"/>
      <c r="F21" s="913"/>
      <c r="G21" s="452">
        <f>'Masque de Saisie'!E45</f>
        <v>10</v>
      </c>
      <c r="H21" s="328" t="s">
        <v>18</v>
      </c>
      <c r="I21" s="325">
        <f>ROUND(((J13+J16)*1.25/G13),6)</f>
        <v>17.307312</v>
      </c>
      <c r="J21" s="326">
        <f t="shared" si="0"/>
        <v>173.07</v>
      </c>
    </row>
    <row r="22" spans="1:10" s="25" customFormat="1" ht="45" hidden="1" customHeight="1" x14ac:dyDescent="0.3">
      <c r="A22" s="911" t="s">
        <v>248</v>
      </c>
      <c r="B22" s="912"/>
      <c r="C22" s="912"/>
      <c r="D22" s="912"/>
      <c r="E22" s="912"/>
      <c r="F22" s="913"/>
      <c r="G22" s="327"/>
      <c r="H22" s="328" t="s">
        <v>20</v>
      </c>
      <c r="I22" s="321"/>
      <c r="J22" s="326"/>
    </row>
    <row r="23" spans="1:10" s="25" customFormat="1" ht="45" hidden="1" customHeight="1" x14ac:dyDescent="0.3">
      <c r="A23" s="911" t="s">
        <v>500</v>
      </c>
      <c r="B23" s="912"/>
      <c r="C23" s="912"/>
      <c r="D23" s="912"/>
      <c r="E23" s="912"/>
      <c r="F23" s="913"/>
      <c r="G23" s="323"/>
      <c r="H23" s="329"/>
      <c r="I23" s="317"/>
      <c r="J23" s="330"/>
    </row>
    <row r="24" spans="1:10" s="25" customFormat="1" ht="45" hidden="1" customHeight="1" x14ac:dyDescent="0.3">
      <c r="A24" s="911" t="s">
        <v>21</v>
      </c>
      <c r="B24" s="912"/>
      <c r="C24" s="912"/>
      <c r="D24" s="912"/>
      <c r="E24" s="912"/>
      <c r="F24" s="913"/>
      <c r="G24" s="323"/>
      <c r="H24" s="329"/>
      <c r="I24" s="317"/>
      <c r="J24" s="330"/>
    </row>
    <row r="25" spans="1:10" s="25" customFormat="1" ht="45" hidden="1" customHeight="1" x14ac:dyDescent="0.3">
      <c r="A25" s="911" t="s">
        <v>22</v>
      </c>
      <c r="B25" s="912"/>
      <c r="C25" s="912"/>
      <c r="D25" s="912"/>
      <c r="E25" s="912"/>
      <c r="F25" s="913"/>
      <c r="G25" s="323"/>
      <c r="H25" s="329"/>
      <c r="I25" s="317"/>
      <c r="J25" s="330"/>
    </row>
    <row r="26" spans="1:10" s="25" customFormat="1" ht="45" hidden="1" customHeight="1" x14ac:dyDescent="0.3">
      <c r="A26" s="922" t="s">
        <v>23</v>
      </c>
      <c r="B26" s="923"/>
      <c r="C26" s="923"/>
      <c r="D26" s="923"/>
      <c r="E26" s="923"/>
      <c r="F26" s="924"/>
      <c r="G26" s="323"/>
      <c r="H26" s="329"/>
      <c r="I26" s="317"/>
      <c r="J26" s="330"/>
    </row>
    <row r="27" spans="1:10" s="25" customFormat="1" ht="45" hidden="1" customHeight="1" x14ac:dyDescent="0.3">
      <c r="A27" s="922" t="s">
        <v>24</v>
      </c>
      <c r="B27" s="923"/>
      <c r="C27" s="923"/>
      <c r="D27" s="923"/>
      <c r="E27" s="923"/>
      <c r="F27" s="924"/>
      <c r="G27" s="323"/>
      <c r="H27" s="329"/>
      <c r="I27" s="317"/>
      <c r="J27" s="330"/>
    </row>
    <row r="28" spans="1:10" s="25" customFormat="1" ht="45" hidden="1" customHeight="1" x14ac:dyDescent="0.3">
      <c r="A28" s="922" t="s">
        <v>25</v>
      </c>
      <c r="B28" s="923"/>
      <c r="C28" s="923"/>
      <c r="D28" s="923"/>
      <c r="E28" s="923"/>
      <c r="F28" s="924"/>
      <c r="G28" s="323"/>
      <c r="H28" s="329"/>
      <c r="I28" s="317"/>
      <c r="J28" s="330"/>
    </row>
    <row r="29" spans="1:10" s="25" customFormat="1" ht="45" hidden="1" customHeight="1" x14ac:dyDescent="0.3">
      <c r="A29" s="922" t="s">
        <v>26</v>
      </c>
      <c r="B29" s="923"/>
      <c r="C29" s="923"/>
      <c r="D29" s="923"/>
      <c r="E29" s="923"/>
      <c r="F29" s="924"/>
      <c r="G29" s="323"/>
      <c r="H29" s="329"/>
      <c r="I29" s="317"/>
      <c r="J29" s="330"/>
    </row>
    <row r="30" spans="1:10" s="25" customFormat="1" ht="45" hidden="1" customHeight="1" x14ac:dyDescent="0.3">
      <c r="A30" s="922" t="s">
        <v>27</v>
      </c>
      <c r="B30" s="923"/>
      <c r="C30" s="923"/>
      <c r="D30" s="923"/>
      <c r="E30" s="923"/>
      <c r="F30" s="924"/>
      <c r="G30" s="323"/>
      <c r="H30" s="329"/>
      <c r="I30" s="317"/>
      <c r="J30" s="330"/>
    </row>
    <row r="31" spans="1:10" s="25" customFormat="1" ht="45" hidden="1" customHeight="1" x14ac:dyDescent="0.3">
      <c r="A31" s="922" t="s">
        <v>28</v>
      </c>
      <c r="B31" s="923"/>
      <c r="C31" s="923"/>
      <c r="D31" s="923"/>
      <c r="E31" s="923"/>
      <c r="F31" s="924"/>
      <c r="G31" s="323"/>
      <c r="H31" s="329"/>
      <c r="I31" s="317"/>
      <c r="J31" s="330"/>
    </row>
    <row r="32" spans="1:10" s="25" customFormat="1" ht="45" hidden="1" customHeight="1" x14ac:dyDescent="0.3">
      <c r="A32" s="922"/>
      <c r="B32" s="923"/>
      <c r="C32" s="923"/>
      <c r="D32" s="923"/>
      <c r="E32" s="923"/>
      <c r="F32" s="924"/>
      <c r="G32" s="323"/>
      <c r="H32" s="329"/>
      <c r="I32" s="317"/>
      <c r="J32" s="330"/>
    </row>
    <row r="33" spans="1:16" s="25" customFormat="1" ht="25.5" customHeight="1" x14ac:dyDescent="0.3">
      <c r="A33" s="929" t="s">
        <v>29</v>
      </c>
      <c r="B33" s="930"/>
      <c r="C33" s="331">
        <f>'Masque de Saisie'!E44</f>
        <v>4005</v>
      </c>
      <c r="D33" s="931" t="s">
        <v>30</v>
      </c>
      <c r="E33" s="931"/>
      <c r="F33" s="931"/>
      <c r="G33" s="931"/>
      <c r="H33" s="931"/>
      <c r="I33" s="931"/>
      <c r="J33" s="425">
        <f>SUM(J13:J32)</f>
        <v>2273.0700000000002</v>
      </c>
    </row>
    <row r="34" spans="1:16" s="21" customFormat="1" ht="23.45" customHeight="1" x14ac:dyDescent="0.2">
      <c r="A34" s="932" t="s">
        <v>31</v>
      </c>
      <c r="B34" s="932"/>
      <c r="C34" s="57" t="s">
        <v>32</v>
      </c>
      <c r="D34" s="371" t="s">
        <v>33</v>
      </c>
      <c r="E34" s="371" t="s">
        <v>34</v>
      </c>
      <c r="F34" s="372" t="s">
        <v>35</v>
      </c>
      <c r="G34" s="372" t="s">
        <v>36</v>
      </c>
      <c r="I34" s="22"/>
      <c r="J34" s="22"/>
      <c r="K34" s="23"/>
    </row>
    <row r="35" spans="1:16" ht="12" customHeight="1" x14ac:dyDescent="0.25">
      <c r="A35" s="933" t="s">
        <v>37</v>
      </c>
      <c r="B35" s="933"/>
      <c r="C35" s="1"/>
      <c r="D35" s="3"/>
      <c r="E35" s="3"/>
      <c r="F35" s="1"/>
      <c r="G35" s="1"/>
    </row>
    <row r="36" spans="1:16" ht="17.45" customHeight="1" x14ac:dyDescent="0.25">
      <c r="A36" s="925" t="s">
        <v>1055</v>
      </c>
      <c r="B36" s="925"/>
      <c r="C36" s="14">
        <f>J33</f>
        <v>2273.0700000000002</v>
      </c>
      <c r="D36" s="34"/>
      <c r="E36" s="35">
        <f t="shared" ref="E36" si="1" xml:space="preserve"> VLOOKUP(A36,TAUX2023,4,FALSE)</f>
        <v>0.13</v>
      </c>
      <c r="F36" s="41">
        <f>ROUND(C36*D36,2)</f>
        <v>0</v>
      </c>
      <c r="G36" s="41">
        <f>ROUND(C36*E36,2)</f>
        <v>295.5</v>
      </c>
      <c r="H36" s="704" t="s">
        <v>779</v>
      </c>
      <c r="I36" s="704" t="s">
        <v>953</v>
      </c>
      <c r="J36" s="2"/>
      <c r="O36" s="926"/>
      <c r="P36" s="926"/>
    </row>
    <row r="37" spans="1:16" ht="17.45" customHeight="1" x14ac:dyDescent="0.25">
      <c r="A37" s="925"/>
      <c r="B37" s="925"/>
      <c r="C37" s="40"/>
      <c r="D37" s="170"/>
      <c r="E37" s="35"/>
      <c r="F37" s="41"/>
      <c r="G37" s="14"/>
      <c r="H37" s="704"/>
      <c r="I37" s="704"/>
      <c r="O37" s="926"/>
      <c r="P37" s="926"/>
    </row>
    <row r="38" spans="1:16" ht="17.45" customHeight="1" x14ac:dyDescent="0.3">
      <c r="A38" s="927" t="s">
        <v>203</v>
      </c>
      <c r="B38" s="928"/>
      <c r="C38" s="14">
        <f>IF(I9=2,J33,0)</f>
        <v>2273.0700000000002</v>
      </c>
      <c r="D38" s="34">
        <f>'Masque de Saisie'!G15</f>
        <v>0.01</v>
      </c>
      <c r="E38" s="34">
        <f>'Masque de Saisie'!H15</f>
        <v>0.02</v>
      </c>
      <c r="F38" s="41">
        <f t="shared" ref="F38:F67" si="2">ROUND(C38*D38,2)</f>
        <v>22.73</v>
      </c>
      <c r="G38" s="14">
        <f t="shared" ref="G38:G70" si="3">ROUND(C38*E38,2)</f>
        <v>45.46</v>
      </c>
      <c r="H38" s="25"/>
      <c r="I38" s="2"/>
      <c r="O38" s="926"/>
      <c r="P38" s="926"/>
    </row>
    <row r="39" spans="1:16" ht="18.75" hidden="1" customHeight="1" x14ac:dyDescent="0.3">
      <c r="A39" s="927" t="s">
        <v>259</v>
      </c>
      <c r="B39" s="928"/>
      <c r="C39" s="41">
        <f>IF(I9=2,0,J33)</f>
        <v>0</v>
      </c>
      <c r="D39" s="34">
        <f>'Masque de Saisie'!G12</f>
        <v>0.01</v>
      </c>
      <c r="E39" s="34">
        <f>'Masque de Saisie'!H12</f>
        <v>0.02</v>
      </c>
      <c r="F39" s="41">
        <f t="shared" si="2"/>
        <v>0</v>
      </c>
      <c r="G39" s="14">
        <f t="shared" si="3"/>
        <v>0</v>
      </c>
      <c r="H39" s="25"/>
      <c r="I39" s="2"/>
      <c r="O39" s="926"/>
      <c r="P39" s="926"/>
    </row>
    <row r="40" spans="1:16" ht="18.75" hidden="1" customHeight="1" x14ac:dyDescent="0.3">
      <c r="A40" s="927" t="s">
        <v>263</v>
      </c>
      <c r="B40" s="928"/>
      <c r="C40" s="41">
        <f>C39</f>
        <v>0</v>
      </c>
      <c r="D40" s="34">
        <f>'Masque de Saisie'!G13</f>
        <v>0</v>
      </c>
      <c r="E40" s="34">
        <f>'Masque de Saisie'!H13</f>
        <v>0.02</v>
      </c>
      <c r="F40" s="41">
        <f t="shared" si="2"/>
        <v>0</v>
      </c>
      <c r="G40" s="14">
        <f t="shared" si="3"/>
        <v>0</v>
      </c>
      <c r="H40" s="25"/>
      <c r="I40" s="2"/>
      <c r="O40" s="926"/>
      <c r="P40" s="926"/>
    </row>
    <row r="41" spans="1:16" ht="22.9" customHeight="1" x14ac:dyDescent="0.3">
      <c r="A41" s="927" t="s">
        <v>264</v>
      </c>
      <c r="B41" s="928"/>
      <c r="C41" s="14">
        <f>C38</f>
        <v>2273.0700000000002</v>
      </c>
      <c r="D41" s="34">
        <f>'Masque de Saisie'!G16</f>
        <v>0</v>
      </c>
      <c r="E41" s="34">
        <f>+'Masque de Saisie'!H16</f>
        <v>0.02</v>
      </c>
      <c r="F41" s="41">
        <f t="shared" si="2"/>
        <v>0</v>
      </c>
      <c r="G41" s="14">
        <f t="shared" si="3"/>
        <v>45.46</v>
      </c>
      <c r="H41" s="700"/>
      <c r="I41" s="25"/>
      <c r="J41" s="43"/>
      <c r="O41" s="926"/>
      <c r="P41" s="926"/>
    </row>
    <row r="42" spans="1:16" ht="22.9" customHeight="1" x14ac:dyDescent="0.3">
      <c r="A42" s="925" t="s">
        <v>209</v>
      </c>
      <c r="B42" s="925"/>
      <c r="C42" s="41">
        <f>IF(I9=2,IF(E41=0,IF(J33&gt;C33,C33,J33),0),0)</f>
        <v>0</v>
      </c>
      <c r="D42" s="34"/>
      <c r="E42" s="35">
        <f>'Masque de Saisie'!H18</f>
        <v>0</v>
      </c>
      <c r="F42" s="41">
        <f>ROUND(C42*D42,2)</f>
        <v>0</v>
      </c>
      <c r="G42" s="14">
        <f>ROUND(C42*E42,2)</f>
        <v>0</v>
      </c>
      <c r="H42" s="700"/>
      <c r="I42" s="25"/>
      <c r="J42" s="43"/>
      <c r="O42" s="185"/>
      <c r="P42" s="185"/>
    </row>
    <row r="43" spans="1:16" ht="22.9" customHeight="1" x14ac:dyDescent="0.3">
      <c r="A43" s="935" t="s">
        <v>400</v>
      </c>
      <c r="B43" s="935"/>
      <c r="C43" s="221">
        <f>J33</f>
        <v>2273.0700000000002</v>
      </c>
      <c r="D43" s="34">
        <f>'Masque de Saisie'!G17</f>
        <v>0</v>
      </c>
      <c r="E43" s="35">
        <f>+'Masque de Saisie'!H17</f>
        <v>0</v>
      </c>
      <c r="F43" s="41">
        <f>ROUND(C43*D43,2)</f>
        <v>0</v>
      </c>
      <c r="G43" s="14">
        <f>ROUND(C43*E43,2)</f>
        <v>0</v>
      </c>
      <c r="H43" s="700"/>
      <c r="I43" s="25"/>
      <c r="J43" s="43"/>
      <c r="O43" s="185"/>
      <c r="P43" s="185"/>
    </row>
    <row r="44" spans="1:16" ht="22.9" customHeight="1" x14ac:dyDescent="0.3">
      <c r="A44" s="936"/>
      <c r="B44" s="937"/>
      <c r="C44" s="4"/>
      <c r="D44" s="4"/>
      <c r="E44" s="4"/>
      <c r="F44" s="4"/>
      <c r="G44" s="4"/>
      <c r="H44" s="700"/>
      <c r="I44" s="25"/>
      <c r="J44" s="25"/>
      <c r="O44" s="926"/>
      <c r="P44" s="926"/>
    </row>
    <row r="45" spans="1:16" ht="22.9" customHeight="1" x14ac:dyDescent="0.3">
      <c r="A45" s="934"/>
      <c r="B45" s="934"/>
      <c r="C45" s="14"/>
      <c r="D45" s="34"/>
      <c r="E45" s="35"/>
      <c r="F45" s="41"/>
      <c r="G45" s="14"/>
      <c r="H45" s="700"/>
      <c r="I45" s="25"/>
      <c r="J45" s="25"/>
      <c r="O45" s="926"/>
      <c r="P45" s="926"/>
    </row>
    <row r="46" spans="1:16" ht="22.9" customHeight="1" x14ac:dyDescent="0.3">
      <c r="A46" s="934"/>
      <c r="B46" s="934"/>
      <c r="C46" s="14"/>
      <c r="D46" s="34"/>
      <c r="E46" s="35"/>
      <c r="F46" s="41"/>
      <c r="G46" s="14"/>
      <c r="H46" s="700"/>
      <c r="I46" s="25"/>
      <c r="J46" s="25"/>
      <c r="O46" s="926"/>
      <c r="P46" s="926"/>
    </row>
    <row r="47" spans="1:16" ht="22.9" customHeight="1" x14ac:dyDescent="0.25">
      <c r="A47" s="940" t="s">
        <v>38</v>
      </c>
      <c r="B47" s="940"/>
      <c r="C47" s="16">
        <f>J33</f>
        <v>2273.0700000000002</v>
      </c>
      <c r="D47" s="34"/>
      <c r="E47" s="35">
        <f>'Masque de Saisie'!H21</f>
        <v>1.2999999999999999E-2</v>
      </c>
      <c r="F47" s="41">
        <f t="shared" si="2"/>
        <v>0</v>
      </c>
      <c r="G47" s="14">
        <f t="shared" si="3"/>
        <v>29.55</v>
      </c>
      <c r="H47" s="700" t="s">
        <v>987</v>
      </c>
      <c r="L47" s="859"/>
    </row>
    <row r="48" spans="1:16" ht="16.5" customHeight="1" x14ac:dyDescent="0.25">
      <c r="A48" s="940" t="s">
        <v>39</v>
      </c>
      <c r="B48" s="940"/>
      <c r="C48" s="17"/>
      <c r="D48" s="34"/>
      <c r="E48" s="35"/>
      <c r="F48" s="41"/>
      <c r="G48" s="14"/>
      <c r="H48" s="700"/>
      <c r="L48" s="859"/>
    </row>
    <row r="49" spans="1:17" ht="18" customHeight="1" x14ac:dyDescent="0.25">
      <c r="A49" s="935" t="s">
        <v>40</v>
      </c>
      <c r="B49" s="935"/>
      <c r="C49" s="41">
        <f>IF(J33&gt;C33,C33,J33)</f>
        <v>2273.0700000000002</v>
      </c>
      <c r="D49" s="34">
        <f>VLOOKUP(A49,TAUX2023,3,FALSE)</f>
        <v>6.9000000000000006E-2</v>
      </c>
      <c r="E49" s="35">
        <f xml:space="preserve"> VLOOKUP(A49,TAUX2023,4,FALSE)</f>
        <v>8.5500000000000007E-2</v>
      </c>
      <c r="F49" s="41">
        <f t="shared" si="2"/>
        <v>156.84</v>
      </c>
      <c r="G49" s="14">
        <f t="shared" si="3"/>
        <v>194.35</v>
      </c>
      <c r="H49" s="700"/>
      <c r="I49" s="701"/>
      <c r="J49" s="701"/>
    </row>
    <row r="50" spans="1:17" ht="18" customHeight="1" x14ac:dyDescent="0.25">
      <c r="A50" s="935" t="s">
        <v>41</v>
      </c>
      <c r="B50" s="935"/>
      <c r="C50" s="14">
        <f>J33</f>
        <v>2273.0700000000002</v>
      </c>
      <c r="D50" s="34">
        <f>VLOOKUP(A50,TAUX2023,3,FALSE)</f>
        <v>4.0000000000000001E-3</v>
      </c>
      <c r="E50" s="35">
        <f xml:space="preserve"> VLOOKUP(A50,TAUX2023,4,FALSE)</f>
        <v>2.1100000000000001E-2</v>
      </c>
      <c r="F50" s="41">
        <f t="shared" si="2"/>
        <v>9.09</v>
      </c>
      <c r="G50" s="14">
        <f t="shared" si="3"/>
        <v>47.96</v>
      </c>
      <c r="H50" s="704" t="s">
        <v>10</v>
      </c>
      <c r="I50" s="704" t="s">
        <v>954</v>
      </c>
      <c r="J50" s="701"/>
    </row>
    <row r="51" spans="1:17" ht="13.5" customHeight="1" x14ac:dyDescent="0.25">
      <c r="A51" s="935" t="s">
        <v>42</v>
      </c>
      <c r="B51" s="935"/>
      <c r="C51" s="14">
        <f>IF(J33&gt;C33,C33,J33)</f>
        <v>2273.0700000000002</v>
      </c>
      <c r="D51" s="170">
        <f>'BP FORMAT JUILLET 2023'!D53</f>
        <v>4.0099999999999997E-2</v>
      </c>
      <c r="E51" s="171">
        <f>'BP FORMAT JUILLET 2023'!E53</f>
        <v>6.0100000000000001E-2</v>
      </c>
      <c r="F51" s="41">
        <f t="shared" si="2"/>
        <v>91.15</v>
      </c>
      <c r="G51" s="14">
        <f t="shared" si="3"/>
        <v>136.61000000000001</v>
      </c>
      <c r="H51" s="704" t="s">
        <v>10</v>
      </c>
      <c r="I51" s="704" t="s">
        <v>955</v>
      </c>
      <c r="J51" s="701"/>
      <c r="K51" s="7"/>
      <c r="M51" s="938"/>
      <c r="N51" s="938"/>
      <c r="O51" s="938"/>
    </row>
    <row r="52" spans="1:17" ht="15" hidden="1" customHeight="1" x14ac:dyDescent="0.25">
      <c r="A52" s="935" t="s">
        <v>43</v>
      </c>
      <c r="B52" s="935"/>
      <c r="C52" s="14">
        <f>IF(J33&gt;8*C33,7*C33,IF(J33&gt;C33,J33-C33,0))</f>
        <v>0</v>
      </c>
      <c r="D52" s="170">
        <f>'BP FORMAT JUILLET 2023'!D54</f>
        <v>0</v>
      </c>
      <c r="E52" s="171">
        <f>'BP FORMAT JUILLET 2023'!E54</f>
        <v>0</v>
      </c>
      <c r="F52" s="41">
        <f t="shared" si="2"/>
        <v>0</v>
      </c>
      <c r="G52" s="14">
        <f t="shared" si="3"/>
        <v>0</v>
      </c>
      <c r="H52" s="704"/>
      <c r="I52" s="704"/>
      <c r="J52" s="701"/>
      <c r="K52" s="7"/>
      <c r="M52" s="939"/>
      <c r="N52" s="939"/>
      <c r="O52" s="10"/>
      <c r="P52" s="12"/>
      <c r="Q52" s="10"/>
    </row>
    <row r="53" spans="1:17" ht="10.5" hidden="1" customHeight="1" x14ac:dyDescent="0.25">
      <c r="A53" s="934"/>
      <c r="B53" s="934"/>
      <c r="C53" s="14"/>
      <c r="D53" s="170"/>
      <c r="E53" s="171"/>
      <c r="F53" s="41"/>
      <c r="G53" s="14"/>
      <c r="H53" s="704"/>
      <c r="I53" s="704"/>
      <c r="J53" s="701"/>
      <c r="K53" s="7"/>
      <c r="M53" s="56"/>
      <c r="N53" s="56"/>
      <c r="O53" s="10"/>
      <c r="P53" s="12"/>
      <c r="Q53" s="10"/>
    </row>
    <row r="54" spans="1:17" ht="10.5" hidden="1" customHeight="1" x14ac:dyDescent="0.25">
      <c r="A54" s="934"/>
      <c r="B54" s="934"/>
      <c r="C54" s="14"/>
      <c r="D54" s="170"/>
      <c r="E54" s="171"/>
      <c r="F54" s="41"/>
      <c r="G54" s="14"/>
      <c r="H54" s="704"/>
      <c r="I54" s="704"/>
      <c r="J54" s="701"/>
      <c r="K54" s="7"/>
      <c r="M54" s="56"/>
      <c r="N54" s="56"/>
      <c r="O54" s="10"/>
      <c r="P54" s="12"/>
      <c r="Q54" s="10"/>
    </row>
    <row r="55" spans="1:17" ht="10.5" hidden="1" customHeight="1" x14ac:dyDescent="0.25">
      <c r="A55" s="934"/>
      <c r="B55" s="934"/>
      <c r="C55" s="174"/>
      <c r="D55" s="170"/>
      <c r="E55" s="171"/>
      <c r="F55" s="41"/>
      <c r="G55" s="14"/>
      <c r="H55" s="704"/>
      <c r="I55" s="704"/>
      <c r="J55" s="701"/>
      <c r="K55" s="7"/>
      <c r="M55" s="56"/>
      <c r="N55" s="56"/>
      <c r="O55" s="10"/>
      <c r="P55" s="12"/>
      <c r="Q55" s="10"/>
    </row>
    <row r="56" spans="1:17" ht="10.5" hidden="1" customHeight="1" x14ac:dyDescent="0.25">
      <c r="A56" s="934"/>
      <c r="B56" s="934"/>
      <c r="C56" s="14"/>
      <c r="D56" s="170"/>
      <c r="E56" s="171"/>
      <c r="F56" s="41"/>
      <c r="G56" s="14"/>
      <c r="H56" s="704"/>
      <c r="I56" s="704"/>
      <c r="J56" s="701"/>
      <c r="K56" s="7"/>
      <c r="M56" s="56"/>
      <c r="N56" s="56"/>
      <c r="O56" s="10"/>
      <c r="P56" s="12"/>
      <c r="Q56" s="10"/>
    </row>
    <row r="57" spans="1:17" ht="17.25" customHeight="1" x14ac:dyDescent="0.25">
      <c r="A57" s="945" t="s">
        <v>44</v>
      </c>
      <c r="B57" s="945"/>
      <c r="D57" s="34"/>
      <c r="E57" s="35"/>
      <c r="F57" s="41"/>
      <c r="G57" s="14"/>
      <c r="H57" s="704"/>
      <c r="I57" s="704"/>
      <c r="J57" s="701"/>
      <c r="M57" s="941"/>
      <c r="N57" s="941"/>
      <c r="P57" s="13"/>
      <c r="Q57" s="2"/>
    </row>
    <row r="58" spans="1:17" ht="15.6" customHeight="1" x14ac:dyDescent="0.25">
      <c r="A58" s="935" t="s">
        <v>1056</v>
      </c>
      <c r="B58" s="935"/>
      <c r="C58" s="14">
        <f>J33</f>
        <v>2273.0700000000002</v>
      </c>
      <c r="D58" s="170"/>
      <c r="E58" s="171">
        <f xml:space="preserve"> VLOOKUP(A58,TAUX2023,4,FALSE)</f>
        <v>5.2499999999999998E-2</v>
      </c>
      <c r="F58" s="41">
        <f t="shared" si="2"/>
        <v>0</v>
      </c>
      <c r="G58" s="14">
        <f>ROUND(C58*E58,2)</f>
        <v>119.34</v>
      </c>
      <c r="H58" s="704" t="s">
        <v>779</v>
      </c>
      <c r="I58" s="704" t="s">
        <v>953</v>
      </c>
      <c r="J58" s="701"/>
      <c r="M58" s="49"/>
      <c r="N58" s="49"/>
      <c r="P58" s="13"/>
      <c r="Q58" s="2"/>
    </row>
    <row r="59" spans="1:17" ht="15.6" customHeight="1" x14ac:dyDescent="0.25">
      <c r="A59" s="935"/>
      <c r="B59" s="935"/>
      <c r="C59" s="41"/>
      <c r="D59" s="170"/>
      <c r="E59" s="171"/>
      <c r="F59" s="41"/>
      <c r="G59" s="14"/>
      <c r="H59" s="704"/>
      <c r="I59" s="704"/>
      <c r="J59" s="701"/>
      <c r="M59" s="49"/>
      <c r="N59" s="49"/>
      <c r="P59" s="13"/>
      <c r="Q59" s="2"/>
    </row>
    <row r="60" spans="1:17" ht="15.6" customHeight="1" x14ac:dyDescent="0.25">
      <c r="A60" s="940" t="s">
        <v>45</v>
      </c>
      <c r="B60" s="940"/>
      <c r="C60" s="19"/>
      <c r="D60" s="170"/>
      <c r="E60" s="171"/>
      <c r="F60" s="41">
        <f t="shared" si="2"/>
        <v>0</v>
      </c>
      <c r="G60" s="14"/>
      <c r="H60" s="704"/>
      <c r="I60" s="704"/>
      <c r="J60" s="701"/>
      <c r="M60" s="941"/>
      <c r="N60" s="941"/>
      <c r="O60" s="11"/>
    </row>
    <row r="61" spans="1:17" ht="16.5" customHeight="1" x14ac:dyDescent="0.25">
      <c r="A61" s="942" t="s">
        <v>212</v>
      </c>
      <c r="B61" s="942"/>
      <c r="C61" s="40">
        <f>IF(J33&gt;4*C33,4*C33,J33)</f>
        <v>2273.0700000000002</v>
      </c>
      <c r="D61" s="170"/>
      <c r="E61" s="171">
        <f>'TABLE DES TAUX 2026 '!D13+'TABLE DES TAUX 2026 '!D14</f>
        <v>4.2500000000000003E-2</v>
      </c>
      <c r="F61" s="41">
        <f t="shared" si="2"/>
        <v>0</v>
      </c>
      <c r="G61" s="14">
        <f t="shared" si="3"/>
        <v>96.61</v>
      </c>
      <c r="H61" s="704" t="s">
        <v>779</v>
      </c>
      <c r="I61" s="704" t="s">
        <v>956</v>
      </c>
      <c r="J61" s="701"/>
      <c r="M61" s="49"/>
      <c r="N61" s="49"/>
      <c r="O61" s="11"/>
    </row>
    <row r="62" spans="1:17" ht="12.75" hidden="1" customHeight="1" x14ac:dyDescent="0.25">
      <c r="A62" s="946"/>
      <c r="B62" s="947"/>
      <c r="C62" s="40"/>
      <c r="D62" s="170"/>
      <c r="E62" s="171"/>
      <c r="F62" s="41"/>
      <c r="G62" s="14"/>
      <c r="H62" s="704"/>
      <c r="I62" s="704"/>
      <c r="M62" s="49"/>
      <c r="N62" s="49"/>
      <c r="O62" s="11"/>
    </row>
    <row r="63" spans="1:17" ht="18" customHeight="1" x14ac:dyDescent="0.25">
      <c r="A63" s="943" t="s">
        <v>288</v>
      </c>
      <c r="B63" s="944"/>
      <c r="C63" s="40">
        <f>IF(I9=2,C61,0)</f>
        <v>2273.0700000000002</v>
      </c>
      <c r="D63" s="172">
        <f>VLOOKUP(A63,TAUX2023,3,FALSE)</f>
        <v>2.4000000000000001E-4</v>
      </c>
      <c r="E63" s="173">
        <f xml:space="preserve"> VLOOKUP(A63,TAUX2023,4,FALSE)</f>
        <v>3.6000000000000002E-4</v>
      </c>
      <c r="F63" s="41">
        <f t="shared" si="2"/>
        <v>0.55000000000000004</v>
      </c>
      <c r="G63" s="14">
        <f t="shared" si="3"/>
        <v>0.82</v>
      </c>
      <c r="H63" s="704"/>
      <c r="I63" s="704"/>
      <c r="M63" s="49"/>
      <c r="N63" s="49"/>
      <c r="O63" s="11"/>
    </row>
    <row r="64" spans="1:17" ht="12" customHeight="1" x14ac:dyDescent="0.25">
      <c r="A64" s="945" t="s">
        <v>46</v>
      </c>
      <c r="B64" s="945"/>
      <c r="C64" s="14"/>
      <c r="D64" s="172"/>
      <c r="E64" s="173"/>
      <c r="F64" s="41">
        <f t="shared" si="2"/>
        <v>0</v>
      </c>
      <c r="G64" s="14">
        <f>E119</f>
        <v>68.55</v>
      </c>
      <c r="H64" s="704"/>
      <c r="I64" s="704"/>
      <c r="M64" s="941"/>
      <c r="N64" s="941"/>
      <c r="O64" s="5"/>
    </row>
    <row r="65" spans="1:12" ht="33.75" hidden="1" customHeight="1" x14ac:dyDescent="0.25">
      <c r="A65" s="948" t="s">
        <v>48</v>
      </c>
      <c r="B65" s="948"/>
      <c r="C65" s="19"/>
      <c r="D65" s="34"/>
      <c r="E65" s="15"/>
      <c r="F65" s="41"/>
      <c r="G65" s="14"/>
      <c r="H65" s="704" t="s">
        <v>10</v>
      </c>
      <c r="I65" s="704"/>
    </row>
    <row r="66" spans="1:12" ht="21.75" customHeight="1" x14ac:dyDescent="0.25">
      <c r="A66" s="925" t="s">
        <v>49</v>
      </c>
      <c r="B66" s="925"/>
      <c r="C66" s="41">
        <f>'HEURES SUPPLEMENTAIRES '!F136</f>
        <v>2154.17</v>
      </c>
      <c r="D66" s="170">
        <f>VLOOKUP(A66,TAUX2023,3,FALSE)</f>
        <v>6.8000000000000005E-2</v>
      </c>
      <c r="E66" s="183"/>
      <c r="F66" s="41">
        <f t="shared" si="2"/>
        <v>146.47999999999999</v>
      </c>
      <c r="G66" s="14"/>
      <c r="H66" s="704" t="s">
        <v>10</v>
      </c>
      <c r="I66" s="704"/>
      <c r="J66" s="2"/>
    </row>
    <row r="67" spans="1:12" ht="24.6" customHeight="1" x14ac:dyDescent="0.25">
      <c r="A67" s="925" t="s">
        <v>50</v>
      </c>
      <c r="B67" s="925"/>
      <c r="C67" s="14">
        <f>C66</f>
        <v>2154.17</v>
      </c>
      <c r="D67" s="170">
        <f>VLOOKUP(A67,TAUX2023,3,FALSE)</f>
        <v>2.9000000000000001E-2</v>
      </c>
      <c r="E67" s="183"/>
      <c r="F67" s="41">
        <f t="shared" si="2"/>
        <v>62.47</v>
      </c>
      <c r="G67" s="14"/>
      <c r="H67" s="704" t="s">
        <v>10</v>
      </c>
      <c r="I67" s="704"/>
      <c r="J67" s="2"/>
      <c r="K67" s="2"/>
    </row>
    <row r="68" spans="1:12" ht="24.6" customHeight="1" x14ac:dyDescent="0.25">
      <c r="A68" s="925" t="s">
        <v>51</v>
      </c>
      <c r="B68" s="925"/>
      <c r="C68" s="14">
        <f>'BP FORMAT JUILLET 2023'!C68</f>
        <v>170.04127500000001</v>
      </c>
      <c r="D68" s="170">
        <f>+D66</f>
        <v>6.8000000000000005E-2</v>
      </c>
      <c r="E68" s="183"/>
      <c r="F68" s="41">
        <f>ROUND(C68*D68,2)</f>
        <v>11.56</v>
      </c>
      <c r="G68" s="14">
        <f t="shared" si="3"/>
        <v>0</v>
      </c>
      <c r="H68" s="700" t="s">
        <v>10</v>
      </c>
      <c r="J68" s="2"/>
      <c r="K68" s="2"/>
    </row>
    <row r="69" spans="1:12" ht="24.6" customHeight="1" x14ac:dyDescent="0.25">
      <c r="A69" s="925" t="s">
        <v>52</v>
      </c>
      <c r="B69" s="925"/>
      <c r="C69" s="14">
        <f>'BP FORMAT JUILLET 2023'!C69</f>
        <v>0</v>
      </c>
      <c r="D69" s="170">
        <f>+D68</f>
        <v>6.8000000000000005E-2</v>
      </c>
      <c r="E69" s="183"/>
      <c r="F69" s="41">
        <f>ROUND(C69*D69,2)</f>
        <v>0</v>
      </c>
      <c r="G69" s="14">
        <f t="shared" si="3"/>
        <v>0</v>
      </c>
      <c r="H69" s="700" t="s">
        <v>10</v>
      </c>
      <c r="J69" s="2"/>
      <c r="K69" s="2"/>
    </row>
    <row r="70" spans="1:12" ht="24.6" customHeight="1" x14ac:dyDescent="0.25">
      <c r="A70" s="925" t="s">
        <v>53</v>
      </c>
      <c r="B70" s="925"/>
      <c r="C70" s="14">
        <f>C68+C69</f>
        <v>170.04127500000001</v>
      </c>
      <c r="D70" s="170">
        <f>+D67</f>
        <v>2.9000000000000001E-2</v>
      </c>
      <c r="E70" s="183"/>
      <c r="F70" s="41">
        <f>ROUND(C70*D70,2)</f>
        <v>4.93</v>
      </c>
      <c r="G70" s="14">
        <f t="shared" si="3"/>
        <v>0</v>
      </c>
      <c r="H70" s="700" t="s">
        <v>952</v>
      </c>
      <c r="J70" s="2"/>
      <c r="K70" s="2"/>
    </row>
    <row r="71" spans="1:12" ht="24.6" customHeight="1" x14ac:dyDescent="0.25">
      <c r="A71" s="948" t="s">
        <v>239</v>
      </c>
      <c r="B71" s="948"/>
      <c r="C71" s="14"/>
      <c r="D71" s="34"/>
      <c r="E71" s="15"/>
      <c r="F71" s="14"/>
      <c r="G71" s="41">
        <f>-'RGDU Version Janvier '!C45-'HEURES SUPPLEMENTAIRES '!A147</f>
        <v>-609.86</v>
      </c>
      <c r="H71" s="704" t="s">
        <v>779</v>
      </c>
      <c r="J71" s="2"/>
      <c r="K71" s="2"/>
    </row>
    <row r="72" spans="1:12" ht="27" hidden="1" customHeight="1" x14ac:dyDescent="0.25">
      <c r="A72" s="934" t="s">
        <v>54</v>
      </c>
      <c r="B72" s="934"/>
      <c r="C72" s="51">
        <f>'HEURES SUPPLEMENTAIRES '!F141</f>
        <v>173.07</v>
      </c>
      <c r="D72" s="34"/>
      <c r="E72" s="169">
        <f>'HEURES SUPPLEMENTAIRES '!D57</f>
        <v>0.11310000000000001</v>
      </c>
      <c r="F72" s="20">
        <f>-ROUND(C72*E72,2)</f>
        <v>-19.57</v>
      </c>
      <c r="G72" s="18"/>
      <c r="H72" s="700"/>
      <c r="I72" s="2"/>
      <c r="J72" s="2"/>
      <c r="K72" s="2"/>
    </row>
    <row r="73" spans="1:12" ht="18.75" customHeight="1" x14ac:dyDescent="0.25">
      <c r="A73" s="934" t="s">
        <v>55</v>
      </c>
      <c r="B73" s="934"/>
      <c r="C73" s="14"/>
      <c r="D73" s="14"/>
      <c r="E73" s="14"/>
      <c r="F73" s="14">
        <f>SUM(F36:F72)</f>
        <v>486.23000000000008</v>
      </c>
      <c r="G73" s="14">
        <f>SUM(G36:G72)</f>
        <v>470.35</v>
      </c>
      <c r="H73" s="702"/>
      <c r="I73" s="2"/>
    </row>
    <row r="74" spans="1:12" ht="20.25" customHeight="1" x14ac:dyDescent="0.25">
      <c r="A74" s="934" t="s">
        <v>387</v>
      </c>
      <c r="B74" s="934"/>
      <c r="C74" s="14"/>
      <c r="D74" s="14"/>
      <c r="E74" s="19"/>
      <c r="F74" s="14">
        <f>'Masque de Saisie'!E47*'Masque de Saisie'!E48</f>
        <v>132</v>
      </c>
      <c r="G74" s="222">
        <f>'Masque de Saisie'!E47*'Masque de Saisie'!E49</f>
        <v>132</v>
      </c>
      <c r="H74" s="700"/>
    </row>
    <row r="75" spans="1:12" ht="20.25" customHeight="1" x14ac:dyDescent="0.25">
      <c r="A75" s="949" t="s">
        <v>56</v>
      </c>
      <c r="B75" s="949"/>
      <c r="C75" s="42"/>
      <c r="D75" s="42"/>
      <c r="E75" s="27"/>
      <c r="F75" s="42">
        <f>'Masque de Saisie'!E50</f>
        <v>45.4</v>
      </c>
      <c r="G75" s="27"/>
      <c r="H75" s="703"/>
    </row>
    <row r="76" spans="1:12" ht="19.5" hidden="1" customHeight="1" x14ac:dyDescent="0.25">
      <c r="A76" s="949"/>
      <c r="B76" s="949"/>
      <c r="C76" s="42"/>
      <c r="D76" s="42"/>
      <c r="E76" s="27"/>
      <c r="F76" s="42"/>
      <c r="G76" s="27"/>
      <c r="I76" s="8"/>
      <c r="J76" s="9"/>
      <c r="K76" s="8"/>
    </row>
    <row r="77" spans="1:12" ht="19.5" customHeight="1" x14ac:dyDescent="0.25">
      <c r="A77" s="890" t="s">
        <v>460</v>
      </c>
      <c r="B77" s="891"/>
      <c r="C77" s="42"/>
      <c r="D77" s="42"/>
      <c r="E77" s="27"/>
      <c r="F77" s="42"/>
      <c r="G77" s="27"/>
      <c r="I77" s="8"/>
      <c r="J77" s="9"/>
      <c r="K77" s="8"/>
    </row>
    <row r="78" spans="1:12" ht="18" customHeight="1" x14ac:dyDescent="0.25">
      <c r="A78" s="950" t="s">
        <v>71</v>
      </c>
      <c r="B78" s="950"/>
      <c r="C78" s="950"/>
      <c r="D78" s="950"/>
      <c r="E78" s="950"/>
      <c r="F78" s="950"/>
      <c r="G78" s="950"/>
      <c r="H78" s="950"/>
      <c r="I78" s="950"/>
      <c r="J78" s="951">
        <f>J33-F73+F75-F76-F74+F77</f>
        <v>1700.2400000000002</v>
      </c>
      <c r="K78" s="952"/>
      <c r="L78" s="952"/>
    </row>
    <row r="79" spans="1:12" ht="5.25" customHeight="1" x14ac:dyDescent="0.25">
      <c r="A79" s="953" t="s">
        <v>58</v>
      </c>
      <c r="B79" s="953"/>
      <c r="C79" s="953"/>
      <c r="D79" s="953"/>
      <c r="E79" s="953"/>
      <c r="F79" s="953"/>
      <c r="G79" s="953"/>
      <c r="H79" s="953"/>
      <c r="I79" s="953"/>
      <c r="J79" s="954">
        <f>F126</f>
        <v>32.090113325000004</v>
      </c>
      <c r="K79" s="955"/>
      <c r="L79" s="955"/>
    </row>
    <row r="80" spans="1:12" ht="5.25" customHeight="1" x14ac:dyDescent="0.25">
      <c r="A80" s="953"/>
      <c r="B80" s="953"/>
      <c r="C80" s="953"/>
      <c r="D80" s="953"/>
      <c r="E80" s="953"/>
      <c r="F80" s="953"/>
      <c r="G80" s="953"/>
      <c r="H80" s="953"/>
      <c r="I80" s="953"/>
      <c r="J80" s="955"/>
      <c r="K80" s="955"/>
      <c r="L80" s="955"/>
    </row>
    <row r="81" spans="1:14" ht="5.25" customHeight="1" x14ac:dyDescent="0.25">
      <c r="A81" s="953"/>
      <c r="B81" s="953"/>
      <c r="C81" s="953"/>
      <c r="D81" s="953"/>
      <c r="E81" s="953"/>
      <c r="F81" s="953"/>
      <c r="G81" s="953"/>
      <c r="H81" s="953"/>
      <c r="I81" s="953"/>
      <c r="J81" s="955"/>
      <c r="K81" s="955"/>
      <c r="L81" s="955"/>
    </row>
    <row r="82" spans="1:14" ht="20.25" customHeight="1" x14ac:dyDescent="0.25">
      <c r="A82" s="956" t="s">
        <v>72</v>
      </c>
      <c r="B82" s="957"/>
      <c r="C82" s="958"/>
      <c r="D82" s="962" t="s">
        <v>63</v>
      </c>
      <c r="E82" s="962"/>
      <c r="F82" s="962" t="s">
        <v>73</v>
      </c>
      <c r="G82" s="962"/>
      <c r="H82" s="54" t="s">
        <v>64</v>
      </c>
      <c r="I82" s="24"/>
      <c r="J82" s="24"/>
      <c r="K82" s="24"/>
      <c r="L82" s="24"/>
    </row>
    <row r="83" spans="1:14" x14ac:dyDescent="0.25">
      <c r="A83" s="959"/>
      <c r="B83" s="960"/>
      <c r="C83" s="961"/>
      <c r="D83" s="963">
        <f>J86</f>
        <v>1738.1899999999996</v>
      </c>
      <c r="E83" s="964"/>
      <c r="F83" s="965">
        <f>'TAUX NEUTRE '!H12</f>
        <v>1.2999999999999999E-2</v>
      </c>
      <c r="G83" s="955"/>
      <c r="H83" s="55">
        <f>ROUND(D83*F83,2)</f>
        <v>22.6</v>
      </c>
      <c r="I83" s="24"/>
      <c r="J83" s="24"/>
      <c r="K83" s="24"/>
      <c r="L83" s="24"/>
    </row>
    <row r="84" spans="1:14" x14ac:dyDescent="0.25">
      <c r="A84" s="969" t="s">
        <v>61</v>
      </c>
      <c r="B84" s="969"/>
      <c r="C84" s="969"/>
      <c r="D84" s="969"/>
      <c r="E84" s="969"/>
      <c r="F84" s="969"/>
      <c r="G84" s="969"/>
      <c r="H84" s="969"/>
      <c r="I84" s="969"/>
      <c r="J84" s="972">
        <f>G73+J33</f>
        <v>2743.42</v>
      </c>
      <c r="K84" s="973"/>
      <c r="L84" s="973"/>
    </row>
    <row r="85" spans="1:14" x14ac:dyDescent="0.25">
      <c r="A85" s="969" t="s">
        <v>240</v>
      </c>
      <c r="B85" s="969"/>
      <c r="C85" s="969"/>
      <c r="D85" s="969"/>
      <c r="E85" s="969"/>
      <c r="F85" s="969"/>
      <c r="G85" s="969"/>
      <c r="H85" s="969"/>
      <c r="I85" s="969"/>
      <c r="J85" s="972">
        <f>J78-H83</f>
        <v>1677.6400000000003</v>
      </c>
      <c r="K85" s="973"/>
      <c r="L85" s="973"/>
    </row>
    <row r="86" spans="1:14" x14ac:dyDescent="0.25">
      <c r="A86" s="969" t="s">
        <v>65</v>
      </c>
      <c r="B86" s="969"/>
      <c r="C86" s="969"/>
      <c r="D86" s="969"/>
      <c r="E86" s="969"/>
      <c r="F86" s="969"/>
      <c r="G86" s="969"/>
      <c r="H86" s="969"/>
      <c r="I86" s="969"/>
      <c r="J86" s="970">
        <f>'HEURES SUPPLEMENTAIRES '!E100</f>
        <v>1738.1899999999996</v>
      </c>
      <c r="K86" s="971"/>
      <c r="L86" s="971"/>
      <c r="N86" s="2"/>
    </row>
    <row r="87" spans="1:14" x14ac:dyDescent="0.25">
      <c r="A87" s="63"/>
      <c r="B87" s="359" t="s">
        <v>70</v>
      </c>
      <c r="C87" s="359" t="s">
        <v>292</v>
      </c>
      <c r="D87" s="974" t="s">
        <v>294</v>
      </c>
      <c r="E87" s="975"/>
      <c r="F87" s="976" t="s">
        <v>295</v>
      </c>
      <c r="G87" s="976"/>
      <c r="H87" s="374"/>
      <c r="I87" s="374"/>
      <c r="J87" s="180"/>
      <c r="K87" s="361"/>
      <c r="L87" s="361"/>
    </row>
    <row r="88" spans="1:14" ht="21" customHeight="1" x14ac:dyDescent="0.25">
      <c r="A88" s="375" t="s">
        <v>293</v>
      </c>
      <c r="B88" s="67">
        <f>H83</f>
        <v>22.6</v>
      </c>
      <c r="C88" s="67"/>
      <c r="D88" s="364" t="s">
        <v>109</v>
      </c>
      <c r="E88" s="67">
        <v>30</v>
      </c>
      <c r="F88" s="364" t="s">
        <v>306</v>
      </c>
      <c r="G88" s="67"/>
      <c r="H88" s="373"/>
      <c r="I88" s="374"/>
      <c r="J88" s="180"/>
      <c r="K88" s="361"/>
      <c r="L88" s="361"/>
    </row>
    <row r="89" spans="1:14" ht="21" customHeight="1" x14ac:dyDescent="0.25">
      <c r="A89" s="376" t="s">
        <v>297</v>
      </c>
      <c r="B89" s="365">
        <f>C72</f>
        <v>173.07</v>
      </c>
      <c r="C89" s="67"/>
      <c r="D89" s="364" t="s">
        <v>102</v>
      </c>
      <c r="E89" s="67">
        <v>28</v>
      </c>
      <c r="F89" s="364" t="s">
        <v>251</v>
      </c>
      <c r="G89" s="67"/>
      <c r="H89" s="374"/>
      <c r="I89" s="374"/>
      <c r="J89" s="180"/>
      <c r="K89" s="361"/>
      <c r="L89" s="361"/>
    </row>
    <row r="90" spans="1:14" ht="17.25" customHeight="1" x14ac:dyDescent="0.25">
      <c r="A90" s="377" t="s">
        <v>187</v>
      </c>
      <c r="B90" s="365">
        <f>J33</f>
        <v>2273.0700000000002</v>
      </c>
      <c r="C90" s="67"/>
      <c r="D90" s="364" t="s">
        <v>250</v>
      </c>
      <c r="E90" s="67">
        <f>E88-E89</f>
        <v>2</v>
      </c>
      <c r="F90" s="364" t="s">
        <v>250</v>
      </c>
      <c r="G90" s="67"/>
      <c r="H90" s="374"/>
      <c r="I90" s="374"/>
      <c r="J90" s="180"/>
      <c r="K90" s="361"/>
      <c r="L90" s="361"/>
    </row>
    <row r="91" spans="1:14" ht="17.25" customHeight="1" x14ac:dyDescent="0.25">
      <c r="A91" s="377" t="s">
        <v>65</v>
      </c>
      <c r="B91" s="365">
        <f>J86</f>
        <v>1738.1899999999996</v>
      </c>
      <c r="C91" s="67"/>
      <c r="D91" s="360"/>
      <c r="E91" s="360"/>
      <c r="F91" s="360"/>
      <c r="G91" s="360"/>
      <c r="H91" s="374"/>
      <c r="I91" s="374"/>
      <c r="J91" s="180"/>
      <c r="K91" s="361"/>
      <c r="L91" s="361"/>
    </row>
    <row r="92" spans="1:14" ht="15" customHeight="1" x14ac:dyDescent="0.25">
      <c r="A92" s="968" t="s">
        <v>62</v>
      </c>
      <c r="B92" s="968"/>
      <c r="C92" s="968"/>
      <c r="D92" s="968"/>
      <c r="E92" s="968"/>
      <c r="F92" s="24"/>
      <c r="G92" s="24"/>
      <c r="H92" s="24"/>
      <c r="I92" s="24"/>
      <c r="J92" s="24"/>
      <c r="K92" s="24"/>
      <c r="L92" s="24"/>
    </row>
    <row r="93" spans="1:14" s="24" customFormat="1" ht="12" customHeight="1" x14ac:dyDescent="0.25">
      <c r="A93" s="44" t="s">
        <v>66</v>
      </c>
    </row>
    <row r="94" spans="1:14" x14ac:dyDescent="0.25">
      <c r="A94" s="24"/>
      <c r="B94" s="24"/>
      <c r="C94" s="24"/>
      <c r="D94" s="24"/>
      <c r="E94" s="24"/>
      <c r="F94" s="24"/>
      <c r="G94" s="24"/>
      <c r="H94" s="24"/>
      <c r="I94" s="24"/>
      <c r="J94" s="24"/>
      <c r="K94" s="24"/>
      <c r="L94" s="24"/>
    </row>
    <row r="95" spans="1:14" x14ac:dyDescent="0.25">
      <c r="A95" s="24"/>
      <c r="B95" s="24"/>
      <c r="C95" s="24"/>
      <c r="D95" s="24"/>
      <c r="E95" s="24"/>
      <c r="F95" s="24"/>
      <c r="G95" s="24"/>
      <c r="H95" s="24"/>
      <c r="I95" s="24"/>
      <c r="J95" s="24"/>
      <c r="K95" s="24"/>
      <c r="L95" s="24"/>
    </row>
    <row r="96" spans="1:14" x14ac:dyDescent="0.25">
      <c r="A96" s="24"/>
      <c r="B96" s="24"/>
      <c r="C96" s="24"/>
      <c r="D96" s="24"/>
      <c r="E96" s="24"/>
      <c r="F96" s="24"/>
      <c r="G96" s="24"/>
      <c r="H96" s="24"/>
      <c r="I96" s="24"/>
      <c r="J96" s="24"/>
      <c r="K96" s="24"/>
      <c r="L96" s="24"/>
    </row>
    <row r="97" spans="1:18" x14ac:dyDescent="0.25">
      <c r="A97" s="24"/>
      <c r="B97" s="24"/>
      <c r="C97" s="24"/>
      <c r="D97" s="24"/>
      <c r="E97" s="24"/>
      <c r="F97" s="24"/>
      <c r="G97" s="24"/>
      <c r="H97" s="24"/>
      <c r="I97" s="24"/>
      <c r="J97" s="24"/>
      <c r="K97" s="24"/>
      <c r="L97" s="24"/>
    </row>
    <row r="98" spans="1:18" x14ac:dyDescent="0.25">
      <c r="A98" s="24"/>
      <c r="B98" s="24"/>
      <c r="C98" s="24"/>
      <c r="D98" s="24"/>
      <c r="E98" s="24"/>
      <c r="F98" s="24"/>
      <c r="G98" s="24"/>
      <c r="H98" s="24"/>
      <c r="I98" s="24"/>
      <c r="J98" s="24"/>
      <c r="K98" s="24"/>
      <c r="L98" s="24"/>
    </row>
    <row r="99" spans="1:18" x14ac:dyDescent="0.25">
      <c r="A99" s="24"/>
      <c r="B99" s="24"/>
      <c r="C99" s="24"/>
      <c r="D99" s="24"/>
      <c r="E99" s="24"/>
      <c r="F99" s="24"/>
      <c r="G99" s="24"/>
      <c r="H99" s="24"/>
      <c r="I99" s="24"/>
      <c r="J99" s="24"/>
      <c r="K99" s="24"/>
      <c r="L99" s="24"/>
    </row>
    <row r="100" spans="1:18" x14ac:dyDescent="0.25">
      <c r="A100" s="24"/>
      <c r="B100" s="24"/>
      <c r="C100" s="24"/>
      <c r="D100" s="24"/>
      <c r="E100" s="24"/>
      <c r="F100" s="24"/>
      <c r="G100" s="24"/>
      <c r="H100" s="24"/>
      <c r="I100" s="24"/>
      <c r="J100" s="24"/>
      <c r="K100" s="24"/>
      <c r="L100" s="24"/>
    </row>
    <row r="101" spans="1:18" x14ac:dyDescent="0.25">
      <c r="A101" s="24"/>
      <c r="B101" s="24"/>
      <c r="C101" s="24"/>
      <c r="D101" s="24"/>
      <c r="E101" s="24"/>
      <c r="F101" s="24"/>
      <c r="G101" s="24"/>
      <c r="H101" s="24"/>
      <c r="I101" s="24"/>
      <c r="J101" s="24"/>
      <c r="K101" s="24"/>
      <c r="L101" s="24"/>
    </row>
    <row r="102" spans="1:18" x14ac:dyDescent="0.25">
      <c r="A102" s="24"/>
      <c r="B102" s="24"/>
      <c r="C102" s="24"/>
      <c r="D102" s="24"/>
      <c r="E102" s="24"/>
      <c r="F102" s="24"/>
      <c r="G102" s="24"/>
      <c r="H102" s="24"/>
      <c r="I102" s="24"/>
      <c r="J102" s="24"/>
      <c r="K102" s="24"/>
      <c r="L102" s="24"/>
    </row>
    <row r="103" spans="1:18" x14ac:dyDescent="0.25">
      <c r="A103" s="24"/>
      <c r="B103" s="24"/>
      <c r="C103" s="24"/>
      <c r="D103" s="24"/>
      <c r="E103" s="24"/>
      <c r="F103" s="24"/>
      <c r="G103" s="24"/>
      <c r="H103" s="24"/>
      <c r="I103" s="24"/>
      <c r="J103" s="24"/>
      <c r="K103" s="24"/>
      <c r="L103" s="24"/>
    </row>
    <row r="104" spans="1:18" x14ac:dyDescent="0.25">
      <c r="A104" s="24"/>
      <c r="B104" s="24"/>
      <c r="C104" s="24"/>
      <c r="D104" s="24"/>
      <c r="E104" s="24"/>
      <c r="F104" s="24"/>
      <c r="G104" s="24"/>
      <c r="H104" s="24"/>
      <c r="I104" s="24"/>
      <c r="J104" s="24"/>
      <c r="K104" s="24"/>
      <c r="L104" s="24"/>
    </row>
    <row r="105" spans="1:18" ht="15.75" x14ac:dyDescent="0.25">
      <c r="A105" s="26"/>
      <c r="B105" s="26"/>
      <c r="C105" s="26"/>
      <c r="D105" s="26"/>
      <c r="E105" s="26"/>
      <c r="F105" s="26"/>
      <c r="G105" s="26"/>
      <c r="H105" s="26"/>
      <c r="I105" s="26"/>
      <c r="J105" s="26"/>
      <c r="K105" s="26"/>
      <c r="L105" s="26"/>
      <c r="M105" s="28"/>
      <c r="N105" s="28"/>
      <c r="O105" s="28"/>
      <c r="P105" s="28"/>
      <c r="Q105" s="28"/>
      <c r="R105" s="28"/>
    </row>
    <row r="106" spans="1:18" ht="15.75" x14ac:dyDescent="0.25">
      <c r="A106" s="26" t="s">
        <v>92</v>
      </c>
      <c r="B106" s="26"/>
      <c r="C106" s="26"/>
      <c r="D106" s="26"/>
      <c r="E106" s="26"/>
      <c r="F106" s="26"/>
      <c r="G106" s="26"/>
      <c r="H106" s="26"/>
      <c r="I106" s="26"/>
      <c r="J106" s="26"/>
      <c r="K106" s="26"/>
      <c r="L106" s="26"/>
      <c r="M106" s="28"/>
      <c r="N106" s="28"/>
      <c r="O106" s="28"/>
      <c r="P106" s="28"/>
      <c r="Q106" s="28"/>
      <c r="R106" s="28"/>
    </row>
    <row r="107" spans="1:18" ht="15.75" x14ac:dyDescent="0.25">
      <c r="A107" s="26"/>
      <c r="C107" s="50" t="s">
        <v>32</v>
      </c>
      <c r="D107" s="50" t="s">
        <v>94</v>
      </c>
      <c r="E107" s="50" t="s">
        <v>103</v>
      </c>
      <c r="H107" s="26"/>
      <c r="I107" s="26"/>
      <c r="J107" s="26"/>
      <c r="K107" s="26"/>
      <c r="L107" s="26"/>
      <c r="M107" s="28"/>
      <c r="N107" s="28"/>
      <c r="O107" s="28"/>
      <c r="P107" s="28"/>
      <c r="Q107" s="28"/>
      <c r="R107" s="28"/>
    </row>
    <row r="108" spans="1:18" ht="15.75" x14ac:dyDescent="0.25">
      <c r="A108" s="966" t="s">
        <v>95</v>
      </c>
      <c r="B108" s="967"/>
      <c r="C108" s="45">
        <f>IF(B9&lt;50,IF(J33&gt;C33,C33,J33),0)</f>
        <v>2273.0700000000002</v>
      </c>
      <c r="D108" s="52">
        <f>'TABLE DES TAUX 2026 '!D26</f>
        <v>1E-3</v>
      </c>
      <c r="E108" s="45">
        <f>ROUND(C108*D108,2)</f>
        <v>2.27</v>
      </c>
      <c r="H108" s="26"/>
      <c r="I108" s="26"/>
      <c r="J108" s="26"/>
      <c r="K108" s="26"/>
      <c r="L108" s="26"/>
      <c r="M108" s="28"/>
      <c r="N108" s="28"/>
      <c r="O108" s="28"/>
      <c r="P108" s="28"/>
      <c r="Q108" s="28"/>
      <c r="R108" s="28"/>
    </row>
    <row r="109" spans="1:18" ht="15.75" x14ac:dyDescent="0.25">
      <c r="A109" s="966" t="s">
        <v>96</v>
      </c>
      <c r="B109" s="967"/>
      <c r="C109" s="45">
        <f>IF(B9&gt;=50,J33,0)</f>
        <v>0</v>
      </c>
      <c r="D109" s="52">
        <f>+'TABLE DES TAUX 2026 '!D27</f>
        <v>5.0000000000000001E-3</v>
      </c>
      <c r="E109" s="45">
        <f>ROUND(C109*D109,2)</f>
        <v>0</v>
      </c>
      <c r="H109" s="26"/>
      <c r="I109" s="26"/>
      <c r="J109" s="26"/>
      <c r="K109" s="26"/>
      <c r="L109" s="26"/>
      <c r="M109" s="28"/>
      <c r="N109" s="28"/>
      <c r="O109" s="28"/>
      <c r="P109" s="28"/>
      <c r="Q109" s="28"/>
      <c r="R109" s="28"/>
    </row>
    <row r="110" spans="1:18" ht="15.75" x14ac:dyDescent="0.25">
      <c r="A110" s="966" t="s">
        <v>287</v>
      </c>
      <c r="B110" s="967"/>
      <c r="C110" s="45">
        <f>IF(B9&gt;=11,J33,0)</f>
        <v>2273.0700000000002</v>
      </c>
      <c r="D110" s="52">
        <f>'Masque de Saisie'!H22</f>
        <v>6.0000000000000001E-3</v>
      </c>
      <c r="E110" s="45">
        <f t="shared" ref="E110:E118" si="4">ROUND(C110*D110,2)</f>
        <v>13.64</v>
      </c>
      <c r="H110" s="26"/>
      <c r="I110" s="26"/>
      <c r="J110" s="26"/>
      <c r="K110" s="26"/>
      <c r="L110" s="26"/>
      <c r="M110" s="28"/>
      <c r="N110" s="28"/>
      <c r="O110" s="28"/>
      <c r="P110" s="28"/>
      <c r="Q110" s="28"/>
      <c r="R110" s="28"/>
    </row>
    <row r="111" spans="1:18" ht="15.75" x14ac:dyDescent="0.25">
      <c r="A111" s="979" t="s">
        <v>78</v>
      </c>
      <c r="B111" s="980"/>
      <c r="C111" s="45">
        <f>J33</f>
        <v>2273.0700000000002</v>
      </c>
      <c r="D111" s="52">
        <f>'TABLE DES TAUX 2026 '!D29</f>
        <v>3.0000000000000001E-3</v>
      </c>
      <c r="E111" s="45">
        <f t="shared" si="4"/>
        <v>6.82</v>
      </c>
      <c r="H111" s="26"/>
      <c r="I111" s="26"/>
      <c r="J111" s="26"/>
      <c r="K111" s="26"/>
      <c r="L111" s="26"/>
      <c r="M111" s="28"/>
      <c r="N111" s="28"/>
      <c r="O111" s="28"/>
      <c r="P111" s="28"/>
      <c r="Q111" s="28"/>
      <c r="R111" s="28"/>
    </row>
    <row r="112" spans="1:18" ht="15.75" x14ac:dyDescent="0.25">
      <c r="A112" s="966" t="s">
        <v>93</v>
      </c>
      <c r="B112" s="967"/>
      <c r="C112" s="45">
        <f>IF(B9&gt;=11, IF(I9=2,G38+G41+G42,G39+G40),0)</f>
        <v>90.92</v>
      </c>
      <c r="D112" s="52">
        <f>'TABLE DES TAUX 2026 '!D30</f>
        <v>0.08</v>
      </c>
      <c r="E112" s="45">
        <f t="shared" si="4"/>
        <v>7.27</v>
      </c>
      <c r="H112" s="28"/>
      <c r="I112" s="28"/>
      <c r="J112" s="28"/>
      <c r="K112" s="28"/>
      <c r="L112" s="28"/>
      <c r="M112" s="28"/>
      <c r="N112" s="28"/>
      <c r="O112" s="28"/>
      <c r="P112" s="28"/>
      <c r="Q112" s="28"/>
      <c r="R112" s="28"/>
    </row>
    <row r="113" spans="1:18" ht="15.75" x14ac:dyDescent="0.25">
      <c r="A113" s="980" t="s">
        <v>231</v>
      </c>
      <c r="B113" s="984"/>
      <c r="C113" s="45">
        <f>G43</f>
        <v>0</v>
      </c>
      <c r="D113" s="52">
        <f>'TABLE DES TAUX 2026 '!D31</f>
        <v>0.2</v>
      </c>
      <c r="E113" s="45">
        <f t="shared" si="4"/>
        <v>0</v>
      </c>
      <c r="H113" s="28"/>
      <c r="I113" s="28"/>
      <c r="J113" s="28"/>
      <c r="K113" s="28"/>
      <c r="L113" s="28"/>
      <c r="M113" s="28"/>
      <c r="N113" s="28"/>
      <c r="O113" s="28"/>
      <c r="P113" s="28"/>
      <c r="Q113" s="28"/>
      <c r="R113" s="28"/>
    </row>
    <row r="114" spans="1:18" ht="16.5" customHeight="1" x14ac:dyDescent="0.25">
      <c r="A114" s="979" t="s">
        <v>79</v>
      </c>
      <c r="B114" s="980"/>
      <c r="C114" s="45">
        <f>+J33</f>
        <v>2273.0700000000002</v>
      </c>
      <c r="D114" s="52">
        <f>'TABLE DES TAUX 2026 '!D32</f>
        <v>1.6000000000000001E-4</v>
      </c>
      <c r="E114" s="45">
        <f t="shared" si="4"/>
        <v>0.36</v>
      </c>
      <c r="H114" s="28"/>
      <c r="I114" s="28"/>
      <c r="J114" s="28"/>
      <c r="K114" s="28"/>
      <c r="L114" s="28"/>
      <c r="M114" s="28"/>
      <c r="N114" s="28"/>
      <c r="O114" s="28"/>
      <c r="P114" s="28"/>
      <c r="Q114" s="28"/>
      <c r="R114" s="28"/>
    </row>
    <row r="115" spans="1:18" ht="15.75" x14ac:dyDescent="0.25">
      <c r="A115" s="979" t="s">
        <v>84</v>
      </c>
      <c r="B115" s="980"/>
      <c r="C115" s="45">
        <f>C114</f>
        <v>2273.0700000000002</v>
      </c>
      <c r="D115" s="52">
        <f>'TABLE DES TAUX 2026 '!D33</f>
        <v>6.7999999999999996E-3</v>
      </c>
      <c r="E115" s="45">
        <f t="shared" si="4"/>
        <v>15.46</v>
      </c>
      <c r="H115" s="28"/>
      <c r="I115" s="28"/>
      <c r="J115" s="28"/>
      <c r="K115" s="28"/>
      <c r="L115" s="28"/>
      <c r="M115" s="28"/>
      <c r="N115" s="28"/>
      <c r="O115" s="28"/>
      <c r="P115" s="28"/>
      <c r="Q115" s="28"/>
      <c r="R115" s="28"/>
    </row>
    <row r="116" spans="1:18" ht="15.75" x14ac:dyDescent="0.25">
      <c r="A116" s="979" t="s">
        <v>85</v>
      </c>
      <c r="B116" s="980"/>
      <c r="C116" s="45">
        <f>IF(B9&gt;=11,J33,0)</f>
        <v>2273.0700000000002</v>
      </c>
      <c r="D116" s="52">
        <f>'TABLE DES TAUX 2026 '!D34</f>
        <v>0.01</v>
      </c>
      <c r="E116" s="45">
        <f t="shared" si="4"/>
        <v>22.73</v>
      </c>
      <c r="H116" s="28"/>
      <c r="I116" s="28"/>
      <c r="J116" s="28"/>
      <c r="K116" s="28"/>
      <c r="L116" s="28"/>
      <c r="M116" s="28"/>
      <c r="N116" s="28"/>
      <c r="O116" s="28"/>
      <c r="P116" s="28"/>
      <c r="Q116" s="28"/>
      <c r="R116" s="28"/>
    </row>
    <row r="117" spans="1:18" ht="15.75" x14ac:dyDescent="0.25">
      <c r="A117" s="979" t="s">
        <v>85</v>
      </c>
      <c r="B117" s="980"/>
      <c r="C117" s="45">
        <f>IF(B9&lt;11,J33,0)</f>
        <v>0</v>
      </c>
      <c r="D117" s="52">
        <f>'TABLE DES TAUX 2026 '!D35</f>
        <v>5.4999999999999997E-3</v>
      </c>
      <c r="E117" s="45">
        <f t="shared" si="4"/>
        <v>0</v>
      </c>
      <c r="H117" s="28"/>
      <c r="I117" s="28"/>
      <c r="J117" s="28"/>
      <c r="K117" s="28"/>
      <c r="L117" s="28"/>
      <c r="M117" s="28"/>
      <c r="N117" s="28"/>
      <c r="O117" s="28"/>
      <c r="P117" s="28"/>
      <c r="Q117" s="28"/>
      <c r="R117" s="28"/>
    </row>
    <row r="118" spans="1:18" ht="15.75" x14ac:dyDescent="0.25">
      <c r="A118" s="979" t="s">
        <v>87</v>
      </c>
      <c r="B118" s="980"/>
      <c r="C118" s="45">
        <f>IF(B9&lt;50,0,J33)</f>
        <v>0</v>
      </c>
      <c r="D118" s="52">
        <f>'TABLE DES TAUX 2026 '!D36</f>
        <v>4.4999999999999997E-3</v>
      </c>
      <c r="E118" s="45">
        <f t="shared" si="4"/>
        <v>0</v>
      </c>
      <c r="H118" s="28"/>
      <c r="I118" s="28"/>
      <c r="J118" s="28"/>
      <c r="K118" s="28"/>
      <c r="L118" s="28"/>
      <c r="M118" s="28"/>
      <c r="N118" s="28"/>
      <c r="O118" s="28"/>
      <c r="P118" s="28"/>
      <c r="Q118" s="28"/>
      <c r="R118" s="28"/>
    </row>
    <row r="119" spans="1:18" ht="15.75" x14ac:dyDescent="0.25">
      <c r="A119" s="28"/>
      <c r="B119" s="28"/>
      <c r="D119" s="28"/>
      <c r="E119" s="68">
        <f>SUM(E108:E118)</f>
        <v>68.55</v>
      </c>
      <c r="F119" s="28"/>
      <c r="G119" s="28"/>
      <c r="H119" s="28"/>
      <c r="I119" s="28"/>
      <c r="J119" s="28"/>
      <c r="K119" s="28"/>
      <c r="L119" s="28"/>
      <c r="M119" s="28"/>
      <c r="N119" s="28"/>
      <c r="O119" s="28"/>
      <c r="P119" s="28"/>
      <c r="Q119" s="28"/>
      <c r="R119" s="28"/>
    </row>
    <row r="120" spans="1:18" ht="15.75" x14ac:dyDescent="0.25">
      <c r="A120" s="28"/>
      <c r="B120" s="28"/>
      <c r="C120" s="28"/>
      <c r="D120" s="28"/>
      <c r="E120" s="28"/>
      <c r="F120" s="28"/>
      <c r="G120" s="28"/>
      <c r="H120" s="28"/>
      <c r="I120" s="28"/>
      <c r="J120" s="28"/>
      <c r="K120" s="28"/>
      <c r="L120" s="28"/>
      <c r="M120" s="28"/>
      <c r="N120" s="28"/>
      <c r="O120" s="28"/>
      <c r="P120" s="28"/>
      <c r="Q120" s="28"/>
      <c r="R120" s="28"/>
    </row>
    <row r="121" spans="1:18" ht="16.5" x14ac:dyDescent="0.3">
      <c r="A121" s="25"/>
      <c r="B121" s="25"/>
      <c r="C121" s="25"/>
      <c r="D121" s="25"/>
      <c r="E121" s="25"/>
      <c r="F121" s="25"/>
      <c r="G121" s="25"/>
      <c r="H121" s="28"/>
      <c r="I121" s="28"/>
      <c r="J121" s="28"/>
      <c r="K121" s="28"/>
      <c r="L121" s="28"/>
      <c r="M121" s="28"/>
      <c r="N121" s="28"/>
      <c r="O121" s="28"/>
      <c r="P121" s="28"/>
      <c r="Q121" s="28"/>
      <c r="R121" s="28"/>
    </row>
    <row r="122" spans="1:18" ht="24.75" customHeight="1" x14ac:dyDescent="0.3">
      <c r="A122" s="25"/>
      <c r="B122" s="25"/>
      <c r="C122" s="25"/>
      <c r="D122" s="25"/>
      <c r="E122" s="25"/>
      <c r="F122" s="25"/>
      <c r="G122" s="25"/>
      <c r="H122" s="28"/>
      <c r="I122" s="28"/>
      <c r="J122" s="28"/>
      <c r="K122" s="28"/>
      <c r="L122" s="28"/>
      <c r="M122" s="28"/>
      <c r="N122" s="28"/>
      <c r="O122" s="28"/>
      <c r="P122" s="28"/>
      <c r="Q122" s="28"/>
      <c r="R122" s="28"/>
    </row>
    <row r="123" spans="1:18" ht="36" customHeight="1" x14ac:dyDescent="0.3">
      <c r="A123" s="981" t="s">
        <v>98</v>
      </c>
      <c r="B123" s="981"/>
      <c r="C123" s="47">
        <v>7.4999999999999997E-3</v>
      </c>
      <c r="D123" s="48">
        <f>C36*C123</f>
        <v>17.048024999999999</v>
      </c>
      <c r="E123" s="25"/>
      <c r="F123" s="25"/>
      <c r="G123" s="25"/>
      <c r="H123" s="28"/>
      <c r="I123" s="28"/>
      <c r="J123" s="28"/>
      <c r="K123" s="28"/>
      <c r="L123" s="28"/>
      <c r="M123" s="28"/>
      <c r="N123" s="28"/>
      <c r="O123" s="28"/>
      <c r="P123" s="28"/>
      <c r="Q123" s="28"/>
      <c r="R123" s="28"/>
    </row>
    <row r="124" spans="1:18" ht="35.25" customHeight="1" x14ac:dyDescent="0.3">
      <c r="A124" s="977" t="s">
        <v>99</v>
      </c>
      <c r="B124" s="977"/>
      <c r="C124" s="47">
        <v>2.4E-2</v>
      </c>
      <c r="D124" s="48">
        <f>C61*C124</f>
        <v>54.553680000000007</v>
      </c>
      <c r="E124" s="25"/>
      <c r="F124" s="25"/>
      <c r="G124" s="25"/>
      <c r="H124" s="28"/>
      <c r="I124" s="28"/>
      <c r="J124" s="28"/>
      <c r="K124" s="28"/>
      <c r="L124" s="28"/>
      <c r="M124" s="28"/>
      <c r="N124" s="28"/>
      <c r="O124" s="28"/>
      <c r="P124" s="28"/>
      <c r="Q124" s="28"/>
      <c r="R124" s="28"/>
    </row>
    <row r="125" spans="1:18" ht="22.5" hidden="1" customHeight="1" x14ac:dyDescent="0.3">
      <c r="A125" s="25"/>
      <c r="B125" s="25"/>
      <c r="C125" s="25"/>
      <c r="D125" s="25"/>
      <c r="E125" s="25"/>
      <c r="F125" s="25"/>
      <c r="G125" s="25"/>
      <c r="H125" s="28"/>
      <c r="I125" s="28"/>
      <c r="J125" s="28"/>
      <c r="K125" s="28"/>
      <c r="L125" s="28"/>
      <c r="M125" s="28"/>
      <c r="N125" s="28"/>
      <c r="O125" s="28"/>
      <c r="P125" s="28"/>
      <c r="Q125" s="28"/>
      <c r="R125" s="28"/>
    </row>
    <row r="126" spans="1:18" ht="22.5" customHeight="1" x14ac:dyDescent="0.3">
      <c r="A126" s="982" t="s">
        <v>120</v>
      </c>
      <c r="B126" s="982"/>
      <c r="C126" s="982"/>
      <c r="D126" s="983"/>
      <c r="E126" s="69" t="s">
        <v>101</v>
      </c>
      <c r="F126" s="70">
        <f>D123+D124-D128</f>
        <v>32.090113325000004</v>
      </c>
      <c r="G126" s="25"/>
      <c r="H126" s="28"/>
      <c r="I126" s="28"/>
      <c r="J126" s="28"/>
      <c r="K126" s="28"/>
      <c r="L126" s="28"/>
      <c r="M126" s="28"/>
      <c r="N126" s="28"/>
      <c r="O126" s="28"/>
      <c r="P126" s="28"/>
      <c r="Q126" s="28"/>
      <c r="R126" s="28"/>
    </row>
    <row r="127" spans="1:18" ht="0.75" customHeight="1" x14ac:dyDescent="0.3">
      <c r="A127" s="25"/>
      <c r="B127" s="25"/>
      <c r="C127" s="25"/>
      <c r="D127" s="25"/>
      <c r="E127" s="25"/>
      <c r="F127" s="25"/>
      <c r="G127" s="25"/>
      <c r="H127" s="28"/>
      <c r="I127" s="28"/>
      <c r="J127" s="28"/>
      <c r="K127" s="28"/>
      <c r="L127" s="28"/>
      <c r="M127" s="28"/>
      <c r="N127" s="28"/>
      <c r="O127" s="28"/>
      <c r="P127" s="28"/>
      <c r="Q127" s="28"/>
      <c r="R127" s="28"/>
    </row>
    <row r="128" spans="1:18" ht="36" customHeight="1" x14ac:dyDescent="0.3">
      <c r="A128" s="977" t="s">
        <v>100</v>
      </c>
      <c r="B128" s="977"/>
      <c r="C128" s="47">
        <v>1.7000000000000001E-2</v>
      </c>
      <c r="D128" s="48">
        <f>(C66+C70)*C128</f>
        <v>39.511591675000005</v>
      </c>
      <c r="E128" s="25"/>
      <c r="F128" s="25"/>
      <c r="G128" s="25"/>
      <c r="H128" s="28"/>
      <c r="I128" s="28"/>
      <c r="J128" s="28"/>
      <c r="K128" s="28"/>
      <c r="L128" s="28"/>
      <c r="M128" s="28"/>
      <c r="N128" s="28"/>
      <c r="O128" s="28"/>
      <c r="P128" s="28"/>
      <c r="Q128" s="28"/>
      <c r="R128" s="28"/>
    </row>
    <row r="129" spans="1:18" ht="16.5" x14ac:dyDescent="0.3">
      <c r="A129" s="25"/>
      <c r="B129" s="25"/>
      <c r="C129" s="25"/>
      <c r="D129" s="25"/>
      <c r="E129" s="25"/>
      <c r="F129" s="25"/>
      <c r="G129" s="25"/>
      <c r="H129" s="28"/>
      <c r="I129" s="28"/>
      <c r="J129" s="28"/>
      <c r="K129" s="28"/>
      <c r="L129" s="28"/>
      <c r="M129" s="28"/>
      <c r="N129" s="28"/>
      <c r="O129" s="28"/>
      <c r="P129" s="28"/>
      <c r="Q129" s="28"/>
      <c r="R129" s="28"/>
    </row>
    <row r="130" spans="1:18" ht="15.75" x14ac:dyDescent="0.25">
      <c r="A130" s="28"/>
      <c r="B130" s="28"/>
      <c r="C130" s="28"/>
      <c r="D130" s="28"/>
      <c r="E130" s="28"/>
      <c r="F130" s="28"/>
      <c r="G130" s="28"/>
      <c r="H130" s="28"/>
      <c r="I130" s="28"/>
      <c r="J130" s="28"/>
      <c r="K130" s="28"/>
      <c r="L130" s="28"/>
      <c r="M130" s="28"/>
      <c r="N130" s="28"/>
      <c r="O130" s="28"/>
      <c r="P130" s="28"/>
      <c r="Q130" s="28"/>
      <c r="R130" s="28"/>
    </row>
    <row r="131" spans="1:18" ht="15.75" x14ac:dyDescent="0.25">
      <c r="A131" s="28"/>
      <c r="B131" s="28"/>
      <c r="C131" s="28"/>
      <c r="D131" s="28"/>
      <c r="E131" s="28"/>
      <c r="F131" s="28"/>
      <c r="G131" s="28"/>
      <c r="H131" s="28"/>
      <c r="I131" s="28"/>
      <c r="J131" s="28"/>
      <c r="K131" s="28"/>
      <c r="L131" s="28"/>
      <c r="M131" s="28"/>
      <c r="N131" s="28"/>
      <c r="O131" s="28"/>
      <c r="P131" s="28"/>
      <c r="Q131" s="28"/>
      <c r="R131" s="28"/>
    </row>
    <row r="132" spans="1:18" ht="15.75" x14ac:dyDescent="0.25">
      <c r="A132" s="28"/>
      <c r="B132" s="28"/>
      <c r="C132" s="28"/>
      <c r="D132" s="28"/>
      <c r="E132" s="28"/>
      <c r="F132" s="28"/>
      <c r="G132" s="28"/>
      <c r="H132" s="28"/>
      <c r="I132" s="28"/>
      <c r="J132" s="28"/>
      <c r="K132" s="28"/>
      <c r="L132" s="28"/>
      <c r="M132" s="28"/>
      <c r="N132" s="28"/>
      <c r="O132" s="28"/>
      <c r="P132" s="28"/>
      <c r="Q132" s="28"/>
      <c r="R132" s="28"/>
    </row>
    <row r="133" spans="1:18" ht="15.75" x14ac:dyDescent="0.25">
      <c r="A133" s="28"/>
      <c r="B133" s="28"/>
      <c r="C133" s="28"/>
      <c r="D133" s="28"/>
      <c r="E133" s="28"/>
      <c r="F133" s="28"/>
      <c r="G133" s="28"/>
      <c r="H133" s="28"/>
      <c r="I133" s="28"/>
      <c r="J133" s="28"/>
      <c r="K133" s="28"/>
      <c r="L133" s="28"/>
      <c r="M133" s="28"/>
      <c r="N133" s="28"/>
      <c r="O133" s="28"/>
      <c r="P133" s="28"/>
      <c r="Q133" s="28"/>
      <c r="R133" s="28"/>
    </row>
    <row r="134" spans="1:18" ht="15.75" x14ac:dyDescent="0.25">
      <c r="A134" s="28"/>
      <c r="B134" s="28"/>
      <c r="C134" s="28"/>
      <c r="D134" s="28"/>
      <c r="E134" s="28"/>
      <c r="F134" s="28"/>
      <c r="G134" s="28"/>
      <c r="H134" s="28"/>
      <c r="I134" s="28"/>
      <c r="J134" s="28"/>
      <c r="K134" s="28"/>
      <c r="L134" s="28"/>
      <c r="M134" s="28"/>
      <c r="N134" s="28"/>
      <c r="O134" s="28"/>
      <c r="P134" s="28"/>
      <c r="Q134" s="28"/>
      <c r="R134" s="28"/>
    </row>
    <row r="135" spans="1:18" ht="15.75" x14ac:dyDescent="0.25">
      <c r="A135" s="28"/>
      <c r="B135" s="28"/>
      <c r="C135" s="28"/>
      <c r="D135" s="28"/>
      <c r="E135" s="28"/>
      <c r="F135" s="28"/>
      <c r="G135" s="28"/>
      <c r="H135" s="28"/>
      <c r="I135" s="28"/>
      <c r="J135" s="28"/>
      <c r="K135" s="28"/>
      <c r="L135" s="28"/>
      <c r="M135" s="28"/>
      <c r="N135" s="28"/>
      <c r="O135" s="28"/>
      <c r="P135" s="28"/>
      <c r="Q135" s="28"/>
      <c r="R135" s="28"/>
    </row>
    <row r="136" spans="1:18" ht="15.75" x14ac:dyDescent="0.25">
      <c r="A136" s="28"/>
      <c r="B136" s="28"/>
      <c r="C136" s="28"/>
      <c r="D136" s="28"/>
      <c r="E136" s="28"/>
      <c r="F136" s="28"/>
      <c r="G136" s="28"/>
      <c r="H136" s="28"/>
      <c r="I136" s="28"/>
      <c r="J136" s="28"/>
      <c r="K136" s="28"/>
      <c r="L136" s="28"/>
      <c r="M136" s="28"/>
      <c r="N136" s="28"/>
      <c r="O136" s="28"/>
      <c r="P136" s="28"/>
      <c r="Q136" s="28"/>
      <c r="R136" s="28"/>
    </row>
    <row r="137" spans="1:18" ht="15.75" x14ac:dyDescent="0.25">
      <c r="A137" s="28"/>
      <c r="B137" s="28"/>
      <c r="C137" s="28"/>
      <c r="D137" s="28"/>
      <c r="E137" s="28"/>
      <c r="F137" s="28"/>
      <c r="G137" s="28"/>
      <c r="H137" s="28"/>
      <c r="I137" s="28"/>
      <c r="J137" s="28"/>
      <c r="K137" s="28"/>
      <c r="L137" s="28"/>
      <c r="M137" s="28"/>
      <c r="N137" s="28"/>
      <c r="O137" s="28"/>
      <c r="P137" s="28"/>
      <c r="Q137" s="28"/>
      <c r="R137" s="28"/>
    </row>
    <row r="138" spans="1:18" ht="15.75" x14ac:dyDescent="0.25">
      <c r="A138" s="28"/>
      <c r="B138" s="28"/>
      <c r="C138" s="28"/>
      <c r="D138" s="28"/>
      <c r="E138" s="28"/>
      <c r="F138" s="28"/>
      <c r="G138" s="28"/>
      <c r="H138" s="28"/>
      <c r="I138" s="28"/>
      <c r="J138" s="28"/>
      <c r="K138" s="28"/>
      <c r="L138" s="28"/>
      <c r="M138" s="28"/>
      <c r="N138" s="28"/>
      <c r="O138" s="28"/>
      <c r="P138" s="28"/>
      <c r="Q138" s="28"/>
      <c r="R138" s="28"/>
    </row>
    <row r="139" spans="1:18" ht="15.75" x14ac:dyDescent="0.25">
      <c r="A139" s="28"/>
      <c r="B139" s="28"/>
      <c r="C139" s="28"/>
      <c r="D139" s="28"/>
      <c r="E139" s="28"/>
      <c r="F139" s="28"/>
      <c r="G139" s="28"/>
      <c r="H139" s="28"/>
      <c r="I139" s="28"/>
      <c r="J139" s="28"/>
      <c r="K139" s="28"/>
      <c r="L139" s="28"/>
      <c r="M139" s="28"/>
      <c r="N139" s="28"/>
      <c r="O139" s="28"/>
      <c r="P139" s="28"/>
      <c r="Q139" s="28"/>
      <c r="R139" s="28"/>
    </row>
    <row r="140" spans="1:18" ht="15.75" x14ac:dyDescent="0.25">
      <c r="A140" s="28"/>
      <c r="B140" s="28"/>
      <c r="C140" s="28"/>
      <c r="D140" s="28"/>
      <c r="E140" s="28"/>
      <c r="F140" s="28"/>
      <c r="G140" s="28"/>
      <c r="H140" s="28"/>
      <c r="I140" s="28"/>
      <c r="J140" s="28"/>
      <c r="K140" s="28"/>
      <c r="L140" s="28"/>
      <c r="M140" s="28"/>
      <c r="N140" s="28"/>
      <c r="O140" s="28"/>
      <c r="P140" s="28"/>
      <c r="Q140" s="28"/>
      <c r="R140" s="28"/>
    </row>
    <row r="141" spans="1:18" ht="15.75" x14ac:dyDescent="0.25">
      <c r="A141" s="28"/>
      <c r="B141" s="28"/>
      <c r="C141" s="28"/>
      <c r="D141" s="28"/>
      <c r="E141" s="28"/>
      <c r="F141" s="28"/>
      <c r="G141" s="28"/>
      <c r="H141" s="28"/>
      <c r="I141" s="28"/>
      <c r="J141" s="28"/>
      <c r="K141" s="28"/>
      <c r="L141" s="28"/>
      <c r="M141" s="28"/>
      <c r="N141" s="28"/>
      <c r="O141" s="28"/>
      <c r="P141" s="28"/>
      <c r="Q141" s="28"/>
      <c r="R141" s="28"/>
    </row>
    <row r="143" spans="1:18" ht="28.5" customHeight="1" x14ac:dyDescent="0.25">
      <c r="A143" s="978"/>
      <c r="B143" s="978"/>
      <c r="C143" s="978"/>
      <c r="D143" s="978"/>
      <c r="E143" s="978"/>
      <c r="F143" s="978"/>
      <c r="G143" s="978"/>
      <c r="H143" s="978"/>
      <c r="I143" s="978"/>
      <c r="J143" s="978"/>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5">
    <mergeCell ref="A128:B128"/>
    <mergeCell ref="A143:J143"/>
    <mergeCell ref="A116:B116"/>
    <mergeCell ref="A117:B117"/>
    <mergeCell ref="A118:B118"/>
    <mergeCell ref="A123:B123"/>
    <mergeCell ref="A124:B124"/>
    <mergeCell ref="A126:D126"/>
    <mergeCell ref="A110:B110"/>
    <mergeCell ref="A111:B111"/>
    <mergeCell ref="A112:B112"/>
    <mergeCell ref="A113:B113"/>
    <mergeCell ref="A114:B114"/>
    <mergeCell ref="A115:B115"/>
    <mergeCell ref="A108:B108"/>
    <mergeCell ref="A109:B109"/>
    <mergeCell ref="A92:E92"/>
    <mergeCell ref="A86:I86"/>
    <mergeCell ref="J86:L86"/>
    <mergeCell ref="A84:I84"/>
    <mergeCell ref="J84:L84"/>
    <mergeCell ref="A85:I85"/>
    <mergeCell ref="J85:L85"/>
    <mergeCell ref="D87:E87"/>
    <mergeCell ref="F87:G8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8:H48"/>
  <sheetViews>
    <sheetView topLeftCell="A41" workbookViewId="0">
      <selection activeCell="D44" sqref="D44:G44"/>
    </sheetView>
  </sheetViews>
  <sheetFormatPr baseColWidth="10" defaultRowHeight="15" x14ac:dyDescent="0.25"/>
  <cols>
    <col min="2" max="2" width="26.5703125" customWidth="1"/>
    <col min="3" max="3" width="13" bestFit="1" customWidth="1"/>
  </cols>
  <sheetData>
    <row r="18" spans="2:8" s="188" customFormat="1" ht="30" customHeight="1" x14ac:dyDescent="0.25">
      <c r="B18" s="987" t="s">
        <v>1014</v>
      </c>
      <c r="C18" s="987"/>
      <c r="D18" s="987"/>
      <c r="E18" s="987"/>
      <c r="F18" s="218"/>
      <c r="G18" s="218"/>
      <c r="H18" s="218"/>
    </row>
    <row r="19" spans="2:8" s="188" customFormat="1" ht="30" customHeight="1" x14ac:dyDescent="0.25">
      <c r="B19" s="988" t="s">
        <v>1015</v>
      </c>
      <c r="C19" s="988"/>
      <c r="D19" s="988"/>
      <c r="E19" s="988"/>
      <c r="F19" s="218"/>
      <c r="G19" s="218"/>
      <c r="H19" s="218"/>
    </row>
    <row r="20" spans="2:8" s="188" customFormat="1" ht="30" customHeight="1" x14ac:dyDescent="0.25">
      <c r="B20" s="218" t="s">
        <v>1016</v>
      </c>
      <c r="C20" s="218"/>
      <c r="D20" s="218"/>
      <c r="E20" s="39">
        <v>12.02</v>
      </c>
      <c r="F20" s="218"/>
      <c r="G20" s="218"/>
      <c r="H20" s="218"/>
    </row>
    <row r="21" spans="2:8" s="188" customFormat="1" ht="30" customHeight="1" x14ac:dyDescent="0.25">
      <c r="B21" s="218" t="s">
        <v>302</v>
      </c>
      <c r="C21" s="218"/>
      <c r="D21" s="218"/>
      <c r="E21" s="798">
        <f>+'BP VERSION JANVIER 2023'!B9</f>
        <v>40</v>
      </c>
      <c r="F21" s="218"/>
      <c r="G21" s="218"/>
      <c r="H21" s="218"/>
    </row>
    <row r="22" spans="2:8" s="188" customFormat="1" ht="30" customHeight="1" x14ac:dyDescent="0.25">
      <c r="B22" s="218" t="s">
        <v>1017</v>
      </c>
      <c r="C22" s="218"/>
      <c r="D22" s="218"/>
      <c r="E22" s="39">
        <f>+'TABLE DES TAUX 2026 '!C61</f>
        <v>0.37809999999999999</v>
      </c>
      <c r="F22" s="989" t="s">
        <v>775</v>
      </c>
      <c r="G22" s="985"/>
      <c r="H22" s="985"/>
    </row>
    <row r="23" spans="2:8" s="188" customFormat="1" ht="30" customHeight="1" x14ac:dyDescent="0.25">
      <c r="B23" s="218"/>
      <c r="C23" s="218"/>
      <c r="D23" s="218"/>
      <c r="E23" s="39">
        <f>+'TABLE DES TAUX 2026 '!D61</f>
        <v>0.3821</v>
      </c>
      <c r="F23" s="989" t="s">
        <v>1018</v>
      </c>
      <c r="G23" s="985"/>
      <c r="H23" s="985"/>
    </row>
    <row r="24" spans="2:8" s="188" customFormat="1" ht="30" customHeight="1" x14ac:dyDescent="0.25">
      <c r="B24" s="218" t="s">
        <v>13</v>
      </c>
      <c r="C24" s="218"/>
      <c r="D24" s="218"/>
      <c r="E24" s="799">
        <f>+'BP VERSION JANVIER 2023'!B10</f>
        <v>161.66999999999999</v>
      </c>
      <c r="F24" s="218"/>
      <c r="G24" s="218"/>
      <c r="H24" s="218"/>
    </row>
    <row r="25" spans="2:8" s="188" customFormat="1" ht="30" customHeight="1" x14ac:dyDescent="0.25">
      <c r="B25" s="218" t="s">
        <v>1019</v>
      </c>
      <c r="C25" s="218"/>
      <c r="D25" s="218"/>
      <c r="E25" s="800">
        <f>+'BP VERSION JANVIER 2023'!J33</f>
        <v>2273.0700000000002</v>
      </c>
      <c r="F25" s="218"/>
      <c r="G25" s="218"/>
      <c r="H25" s="218"/>
    </row>
    <row r="26" spans="2:8" s="188" customFormat="1" ht="15.75" x14ac:dyDescent="0.25"/>
    <row r="27" spans="2:8" s="188" customFormat="1" ht="15.75" x14ac:dyDescent="0.25"/>
    <row r="28" spans="2:8" s="188" customFormat="1" ht="15.75" x14ac:dyDescent="0.25"/>
    <row r="29" spans="2:8" s="188" customFormat="1" ht="15.75" x14ac:dyDescent="0.25"/>
    <row r="30" spans="2:8" s="188" customFormat="1" ht="15.75" x14ac:dyDescent="0.25"/>
    <row r="31" spans="2:8" s="188" customFormat="1" ht="15.75" x14ac:dyDescent="0.25"/>
    <row r="32" spans="2:8" s="188" customFormat="1" ht="15.75" x14ac:dyDescent="0.25"/>
    <row r="33" spans="1:7" s="188" customFormat="1" ht="15.75" x14ac:dyDescent="0.25"/>
    <row r="34" spans="1:7" s="188" customFormat="1" ht="15.75" x14ac:dyDescent="0.25"/>
    <row r="35" spans="1:7" s="218" customFormat="1" ht="33.75" customHeight="1" x14ac:dyDescent="0.25">
      <c r="A35" s="39" t="s">
        <v>304</v>
      </c>
      <c r="B35" s="39" t="s">
        <v>1020</v>
      </c>
      <c r="C35" s="573">
        <v>0.02</v>
      </c>
    </row>
    <row r="36" spans="1:7" s="218" customFormat="1" ht="33.75" customHeight="1" x14ac:dyDescent="0.25">
      <c r="A36" s="39" t="s">
        <v>268</v>
      </c>
      <c r="B36" s="39" t="s">
        <v>1021</v>
      </c>
      <c r="C36" s="39">
        <f>IF(E21&gt;=50,E23,E22)</f>
        <v>0.37809999999999999</v>
      </c>
      <c r="D36" s="988" t="s">
        <v>1022</v>
      </c>
      <c r="E36" s="988"/>
      <c r="F36" s="988"/>
      <c r="G36" s="988"/>
    </row>
    <row r="37" spans="1:7" s="218" customFormat="1" ht="33.75" customHeight="1" x14ac:dyDescent="0.25">
      <c r="A37" s="39" t="s">
        <v>229</v>
      </c>
      <c r="B37" s="39" t="s">
        <v>1023</v>
      </c>
      <c r="C37" s="39">
        <f>3*E20*E24</f>
        <v>5829.8202000000001</v>
      </c>
    </row>
    <row r="38" spans="1:7" s="218" customFormat="1" ht="33.75" customHeight="1" x14ac:dyDescent="0.25">
      <c r="A38" s="39" t="s">
        <v>269</v>
      </c>
      <c r="B38" s="39" t="s">
        <v>1024</v>
      </c>
      <c r="C38" s="39">
        <f>E25</f>
        <v>2273.0700000000002</v>
      </c>
    </row>
    <row r="39" spans="1:7" s="218" customFormat="1" ht="33.75" customHeight="1" x14ac:dyDescent="0.25">
      <c r="A39" s="39" t="s">
        <v>1025</v>
      </c>
      <c r="B39" s="39" t="s">
        <v>270</v>
      </c>
      <c r="C39" s="39">
        <f>C37/C38</f>
        <v>2.5647341260937848</v>
      </c>
    </row>
    <row r="40" spans="1:7" s="218" customFormat="1" ht="33.75" customHeight="1" x14ac:dyDescent="0.25">
      <c r="A40" s="39" t="s">
        <v>271</v>
      </c>
      <c r="B40" s="39" t="s">
        <v>1026</v>
      </c>
      <c r="C40" s="39">
        <f>IF((C39-1)&lt;0,0,C39-1)</f>
        <v>1.5647341260937848</v>
      </c>
    </row>
    <row r="41" spans="1:7" s="218" customFormat="1" ht="33.75" customHeight="1" x14ac:dyDescent="0.25">
      <c r="A41" s="39" t="s">
        <v>1027</v>
      </c>
      <c r="B41" s="39" t="s">
        <v>272</v>
      </c>
      <c r="C41" s="39">
        <f>C40/2</f>
        <v>0.78236706304689241</v>
      </c>
    </row>
    <row r="42" spans="1:7" s="218" customFormat="1" ht="33.75" customHeight="1" x14ac:dyDescent="0.25">
      <c r="A42" s="39" t="s">
        <v>299</v>
      </c>
      <c r="B42" s="39" t="s">
        <v>1028</v>
      </c>
      <c r="C42" s="39">
        <f>POWER(C41,1.75)</f>
        <v>0.65083137015988846</v>
      </c>
    </row>
    <row r="43" spans="1:7" s="218" customFormat="1" ht="33.75" customHeight="1" x14ac:dyDescent="0.25">
      <c r="A43" s="39" t="s">
        <v>300</v>
      </c>
      <c r="B43" s="39" t="s">
        <v>1029</v>
      </c>
      <c r="C43" s="39">
        <f>IF($E$21&lt;50,$E$22*C42,$E$23*C42)</f>
        <v>0.24607934105745383</v>
      </c>
    </row>
    <row r="44" spans="1:7" s="218" customFormat="1" ht="33.75" customHeight="1" x14ac:dyDescent="0.25">
      <c r="A44" s="39" t="s">
        <v>1030</v>
      </c>
      <c r="B44" s="39" t="s">
        <v>1031</v>
      </c>
      <c r="C44" s="801">
        <f>ROUND(IF((C35+C43)=0.02,0,C35+C43),4)</f>
        <v>0.2661</v>
      </c>
      <c r="D44" s="1234" t="s">
        <v>1099</v>
      </c>
      <c r="E44" s="1234"/>
      <c r="F44" s="1234"/>
      <c r="G44" s="1234"/>
    </row>
    <row r="45" spans="1:7" s="218" customFormat="1" ht="33.75" customHeight="1" x14ac:dyDescent="0.25">
      <c r="A45" s="39" t="s">
        <v>1032</v>
      </c>
      <c r="B45" s="39" t="s">
        <v>1033</v>
      </c>
      <c r="C45" s="808">
        <f>ROUND((C44*E25),2)</f>
        <v>604.86</v>
      </c>
      <c r="D45" s="986" t="s">
        <v>1034</v>
      </c>
      <c r="E45" s="986"/>
      <c r="F45" s="986"/>
      <c r="G45" s="986"/>
    </row>
    <row r="46" spans="1:7" s="188" customFormat="1" ht="15.75" x14ac:dyDescent="0.25"/>
    <row r="47" spans="1:7" s="28" customFormat="1" ht="15.75" x14ac:dyDescent="0.25"/>
    <row r="48" spans="1:7" s="28" customFormat="1" ht="15.75" x14ac:dyDescent="0.25"/>
  </sheetData>
  <mergeCells count="7">
    <mergeCell ref="D44:G44"/>
    <mergeCell ref="D45:G45"/>
    <mergeCell ref="B18:E18"/>
    <mergeCell ref="B19:E19"/>
    <mergeCell ref="F22:H22"/>
    <mergeCell ref="F23:H23"/>
    <mergeCell ref="D36:G36"/>
  </mergeCells>
  <pageMargins left="0.70866141732283472" right="0.70866141732283472" top="0.74803149606299213" bottom="0.74803149606299213" header="0.31496062992125984" footer="0.31496062992125984"/>
  <pageSetup paperSize="9" scale="85"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6"/>
  <sheetViews>
    <sheetView topLeftCell="A71" zoomScale="140" zoomScaleNormal="140" workbookViewId="0">
      <selection activeCell="A38" sqref="A38:B38"/>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757" customWidth="1"/>
    <col min="9" max="9" width="8.140625" style="757" bestFit="1" customWidth="1"/>
    <col min="10" max="10" width="11.140625" style="25" customWidth="1"/>
    <col min="11" max="11" width="12.85546875" style="25" hidden="1" customWidth="1"/>
    <col min="12" max="12" width="0.42578125" style="25" customWidth="1"/>
    <col min="13" max="13" width="12.85546875" style="25" customWidth="1"/>
    <col min="14" max="16384" width="11.42578125" style="25"/>
  </cols>
  <sheetData>
    <row r="1" spans="1:10" ht="15.75" customHeight="1" x14ac:dyDescent="0.3">
      <c r="A1" s="900" t="s">
        <v>464</v>
      </c>
      <c r="B1" s="900"/>
      <c r="C1" s="900"/>
      <c r="D1" s="900"/>
      <c r="E1" s="900"/>
      <c r="F1" s="900"/>
      <c r="G1" s="900"/>
      <c r="H1" s="901"/>
      <c r="I1" s="901"/>
      <c r="J1" s="901"/>
    </row>
    <row r="2" spans="1:10" ht="15.75" customHeight="1" x14ac:dyDescent="0.3">
      <c r="A2" s="902" t="s">
        <v>0</v>
      </c>
      <c r="B2" s="903"/>
      <c r="C2" s="903"/>
      <c r="D2" s="904"/>
      <c r="E2" s="308"/>
      <c r="F2" s="905" t="s">
        <v>1</v>
      </c>
      <c r="G2" s="906"/>
      <c r="H2" s="906"/>
      <c r="I2" s="906"/>
      <c r="J2" s="907"/>
    </row>
    <row r="3" spans="1:10" ht="15.75" customHeight="1" x14ac:dyDescent="0.3">
      <c r="A3" s="309" t="s">
        <v>2</v>
      </c>
      <c r="B3" s="908" t="str">
        <f>'Masque de Saisie'!G4</f>
        <v xml:space="preserve">Pharmacie L et D  de GAALON </v>
      </c>
      <c r="C3" s="909"/>
      <c r="D3" s="910"/>
      <c r="E3" s="310"/>
      <c r="F3" s="311" t="s">
        <v>2</v>
      </c>
      <c r="G3" s="895" t="str">
        <f>'Masque de Saisie'!E26</f>
        <v xml:space="preserve">MARTINO </v>
      </c>
      <c r="H3" s="895"/>
      <c r="I3" s="895"/>
      <c r="J3" s="895"/>
    </row>
    <row r="4" spans="1:10" ht="15.75" customHeight="1" x14ac:dyDescent="0.3">
      <c r="A4" s="309" t="s">
        <v>3</v>
      </c>
      <c r="B4" s="908" t="str">
        <f>'Masque de Saisie'!G5</f>
        <v xml:space="preserve">29 Rue Clémenceau  22430 Erquy </v>
      </c>
      <c r="C4" s="909"/>
      <c r="D4" s="910"/>
      <c r="E4" s="310"/>
      <c r="F4" s="311" t="s">
        <v>4</v>
      </c>
      <c r="G4" s="895" t="str">
        <f>'Masque de Saisie'!E27</f>
        <v>Rassa</v>
      </c>
      <c r="H4" s="895"/>
      <c r="I4" s="895"/>
      <c r="J4" s="895"/>
    </row>
    <row r="5" spans="1:10" ht="15.75" customHeight="1" x14ac:dyDescent="0.3">
      <c r="A5" s="309"/>
      <c r="B5" s="892"/>
      <c r="C5" s="893"/>
      <c r="D5" s="894"/>
      <c r="E5" s="310"/>
      <c r="F5" s="311" t="s">
        <v>5</v>
      </c>
      <c r="G5" s="895" t="str">
        <f>'Masque de Saisie'!E29</f>
        <v>Préparatrice en Pharmacie</v>
      </c>
      <c r="H5" s="895"/>
      <c r="I5" s="895"/>
      <c r="J5" s="895"/>
    </row>
    <row r="6" spans="1:10" ht="15.75" customHeight="1" x14ac:dyDescent="0.3">
      <c r="A6" s="309" t="s">
        <v>6</v>
      </c>
      <c r="B6" s="896">
        <f>'Masque de Saisie'!G6</f>
        <v>4980785750020</v>
      </c>
      <c r="C6" s="897"/>
      <c r="D6" s="898"/>
      <c r="E6" s="312"/>
      <c r="F6" s="311" t="s">
        <v>7</v>
      </c>
      <c r="G6" s="895">
        <f>'Masque de Saisie'!E30</f>
        <v>290</v>
      </c>
      <c r="H6" s="895"/>
      <c r="I6" s="895"/>
      <c r="J6" s="895"/>
    </row>
    <row r="7" spans="1:10" ht="15.75" customHeight="1" x14ac:dyDescent="0.3">
      <c r="A7" s="309" t="s">
        <v>8</v>
      </c>
      <c r="B7" s="892" t="str">
        <f>'Masque de Saisie'!G7</f>
        <v>4773Z</v>
      </c>
      <c r="C7" s="893"/>
      <c r="D7" s="894"/>
      <c r="E7" s="310"/>
      <c r="F7" s="311" t="s">
        <v>9</v>
      </c>
      <c r="G7" s="899" t="str">
        <f>'Masque de Saisie'!E31</f>
        <v>2.96.02.297.820. 957</v>
      </c>
      <c r="H7" s="899"/>
      <c r="I7" s="899"/>
      <c r="J7" s="899"/>
    </row>
    <row r="8" spans="1:10" ht="15.75" customHeight="1" x14ac:dyDescent="0.3">
      <c r="A8" s="309" t="s">
        <v>10</v>
      </c>
      <c r="B8" s="896"/>
      <c r="C8" s="897"/>
      <c r="D8" s="898"/>
      <c r="E8" s="312"/>
      <c r="F8" s="313" t="s">
        <v>3</v>
      </c>
      <c r="G8" s="895" t="str">
        <f>'Masque de Saisie'!E28</f>
        <v xml:space="preserve">2 Avenue du Val Fleuri 22520 Binic </v>
      </c>
      <c r="H8" s="895"/>
      <c r="I8" s="895"/>
      <c r="J8" s="895"/>
    </row>
    <row r="9" spans="1:10" ht="15.75" customHeight="1" x14ac:dyDescent="0.3">
      <c r="A9" s="309" t="s">
        <v>11</v>
      </c>
      <c r="B9" s="504">
        <f>'Masque de Saisie'!G9</f>
        <v>40</v>
      </c>
      <c r="C9" s="914"/>
      <c r="D9" s="894"/>
      <c r="E9" s="310"/>
      <c r="F9" s="915" t="s">
        <v>12</v>
      </c>
      <c r="G9" s="916"/>
      <c r="H9" s="752"/>
      <c r="I9" s="329">
        <f>'Masque de Saisie'!E33</f>
        <v>2</v>
      </c>
      <c r="J9" s="316" t="str">
        <f>'Masque de Saisie'!E32</f>
        <v>C</v>
      </c>
    </row>
    <row r="10" spans="1:10" ht="15.75" customHeight="1" x14ac:dyDescent="0.3">
      <c r="A10" s="318" t="s">
        <v>13</v>
      </c>
      <c r="B10" s="324">
        <f>'Masque de Saisie'!E46</f>
        <v>161.66999999999999</v>
      </c>
      <c r="C10" s="316" t="s">
        <v>14</v>
      </c>
      <c r="D10" s="422">
        <f>'Masque de Saisie'!E43</f>
        <v>12.02</v>
      </c>
      <c r="E10" s="310"/>
      <c r="F10" s="892" t="s">
        <v>242</v>
      </c>
      <c r="G10" s="894"/>
      <c r="H10" s="753">
        <f>'Masque de Saisie'!E38</f>
        <v>46296</v>
      </c>
      <c r="I10" s="754" t="s">
        <v>15</v>
      </c>
      <c r="J10" s="368">
        <f>'Masque de Saisie'!E39</f>
        <v>46326</v>
      </c>
    </row>
    <row r="11" spans="1:10" ht="30" customHeight="1" x14ac:dyDescent="0.3">
      <c r="A11" s="321"/>
      <c r="B11" s="917" t="s">
        <v>305</v>
      </c>
      <c r="C11" s="918"/>
      <c r="D11" s="919"/>
      <c r="E11" s="322"/>
      <c r="F11" s="321" t="s">
        <v>16</v>
      </c>
      <c r="G11" s="369">
        <f>'Masque de Saisie'!E39</f>
        <v>46326</v>
      </c>
      <c r="H11" s="755"/>
      <c r="I11" s="755"/>
      <c r="J11" s="370"/>
    </row>
    <row r="12" spans="1:10" ht="9.75" customHeight="1" x14ac:dyDescent="0.3">
      <c r="A12" s="920"/>
      <c r="B12" s="921"/>
      <c r="C12" s="921"/>
      <c r="D12" s="921"/>
      <c r="E12" s="921"/>
      <c r="F12" s="921"/>
      <c r="G12" s="921"/>
      <c r="H12" s="921"/>
      <c r="I12" s="921"/>
      <c r="J12" s="921"/>
    </row>
    <row r="13" spans="1:10" ht="15.75" customHeight="1" x14ac:dyDescent="0.3">
      <c r="A13" s="911" t="s">
        <v>17</v>
      </c>
      <c r="B13" s="912"/>
      <c r="C13" s="912"/>
      <c r="D13" s="912"/>
      <c r="E13" s="912"/>
      <c r="F13" s="913"/>
      <c r="G13" s="324">
        <v>151.66999999999999</v>
      </c>
      <c r="H13" s="321" t="s">
        <v>18</v>
      </c>
      <c r="I13" s="325">
        <f>J13/G13</f>
        <v>13.18652337311268</v>
      </c>
      <c r="J13" s="326">
        <f>'Masque de Saisie'!E41</f>
        <v>2000</v>
      </c>
    </row>
    <row r="14" spans="1:10" ht="15.75" hidden="1" customHeight="1" x14ac:dyDescent="0.3">
      <c r="A14" s="911" t="s">
        <v>243</v>
      </c>
      <c r="B14" s="912"/>
      <c r="C14" s="912"/>
      <c r="D14" s="912"/>
      <c r="E14" s="912"/>
      <c r="F14" s="913"/>
      <c r="G14" s="321"/>
      <c r="H14" s="321"/>
      <c r="I14" s="325"/>
      <c r="J14" s="326"/>
    </row>
    <row r="15" spans="1:10" ht="15.75" hidden="1" customHeight="1" x14ac:dyDescent="0.3">
      <c r="A15" s="911" t="s">
        <v>406</v>
      </c>
      <c r="B15" s="912"/>
      <c r="C15" s="912"/>
      <c r="D15" s="912"/>
      <c r="E15" s="912"/>
      <c r="F15" s="913"/>
      <c r="G15" s="327"/>
      <c r="H15" s="328"/>
      <c r="I15" s="325"/>
      <c r="J15" s="326"/>
    </row>
    <row r="16" spans="1:10" ht="20.25" customHeight="1" x14ac:dyDescent="0.3">
      <c r="A16" s="911" t="s">
        <v>407</v>
      </c>
      <c r="B16" s="912"/>
      <c r="C16" s="912"/>
      <c r="D16" s="912"/>
      <c r="E16" s="912"/>
      <c r="F16" s="913"/>
      <c r="G16" s="327"/>
      <c r="H16" s="328"/>
      <c r="I16" s="325"/>
      <c r="J16" s="326">
        <v>100</v>
      </c>
    </row>
    <row r="17" spans="1:10" ht="15.75" hidden="1" customHeight="1" x14ac:dyDescent="0.3">
      <c r="A17" s="911" t="s">
        <v>19</v>
      </c>
      <c r="B17" s="912"/>
      <c r="C17" s="912"/>
      <c r="D17" s="912"/>
      <c r="E17" s="912"/>
      <c r="F17" s="913"/>
      <c r="G17" s="327"/>
      <c r="H17" s="328" t="s">
        <v>18</v>
      </c>
      <c r="I17" s="325"/>
      <c r="J17" s="326"/>
    </row>
    <row r="18" spans="1:10" ht="15.75" hidden="1" customHeight="1" x14ac:dyDescent="0.3">
      <c r="A18" s="911" t="s">
        <v>244</v>
      </c>
      <c r="B18" s="912"/>
      <c r="C18" s="912"/>
      <c r="D18" s="912"/>
      <c r="E18" s="912"/>
      <c r="F18" s="913"/>
      <c r="G18" s="327"/>
      <c r="H18" s="328" t="s">
        <v>18</v>
      </c>
      <c r="I18" s="325"/>
      <c r="J18" s="326">
        <f t="shared" ref="J18:J21" si="0">ROUND(G18*I18,2)</f>
        <v>0</v>
      </c>
    </row>
    <row r="19" spans="1:10" ht="15.75" hidden="1" customHeight="1" x14ac:dyDescent="0.3">
      <c r="A19" s="911" t="s">
        <v>245</v>
      </c>
      <c r="B19" s="912"/>
      <c r="C19" s="912"/>
      <c r="D19" s="912"/>
      <c r="E19" s="912"/>
      <c r="F19" s="913"/>
      <c r="G19" s="327"/>
      <c r="H19" s="328" t="s">
        <v>18</v>
      </c>
      <c r="I19" s="325"/>
      <c r="J19" s="326">
        <f t="shared" si="0"/>
        <v>0</v>
      </c>
    </row>
    <row r="20" spans="1:10" ht="45" hidden="1" customHeight="1" x14ac:dyDescent="0.3">
      <c r="A20" s="911" t="s">
        <v>246</v>
      </c>
      <c r="B20" s="912"/>
      <c r="C20" s="912"/>
      <c r="D20" s="912"/>
      <c r="E20" s="912"/>
      <c r="F20" s="913"/>
      <c r="G20" s="327"/>
      <c r="H20" s="328" t="s">
        <v>18</v>
      </c>
      <c r="I20" s="325"/>
      <c r="J20" s="326">
        <f t="shared" si="0"/>
        <v>0</v>
      </c>
    </row>
    <row r="21" spans="1:10" ht="24.75" customHeight="1" x14ac:dyDescent="0.3">
      <c r="A21" s="911" t="s">
        <v>247</v>
      </c>
      <c r="B21" s="912"/>
      <c r="C21" s="912"/>
      <c r="D21" s="912"/>
      <c r="E21" s="912"/>
      <c r="F21" s="913"/>
      <c r="G21" s="452">
        <f>'Masque de Saisie'!E45</f>
        <v>10</v>
      </c>
      <c r="H21" s="328" t="s">
        <v>18</v>
      </c>
      <c r="I21" s="325">
        <f>ROUND(((J13+J16)*1.25/G13),6)</f>
        <v>17.307312</v>
      </c>
      <c r="J21" s="326">
        <f t="shared" si="0"/>
        <v>173.07</v>
      </c>
    </row>
    <row r="22" spans="1:10" ht="45" hidden="1" customHeight="1" x14ac:dyDescent="0.3">
      <c r="A22" s="911" t="s">
        <v>248</v>
      </c>
      <c r="B22" s="912"/>
      <c r="C22" s="912"/>
      <c r="D22" s="912"/>
      <c r="E22" s="912"/>
      <c r="F22" s="913"/>
      <c r="G22" s="327"/>
      <c r="H22" s="328" t="s">
        <v>20</v>
      </c>
      <c r="I22" s="321"/>
      <c r="J22" s="326"/>
    </row>
    <row r="23" spans="1:10" ht="45" hidden="1" customHeight="1" x14ac:dyDescent="0.3">
      <c r="A23" s="911" t="s">
        <v>500</v>
      </c>
      <c r="B23" s="912"/>
      <c r="C23" s="912"/>
      <c r="D23" s="912"/>
      <c r="E23" s="912"/>
      <c r="F23" s="913"/>
      <c r="G23" s="323"/>
      <c r="H23" s="329"/>
      <c r="I23" s="317"/>
      <c r="J23" s="330"/>
    </row>
    <row r="24" spans="1:10" ht="45" hidden="1" customHeight="1" x14ac:dyDescent="0.3">
      <c r="A24" s="911" t="s">
        <v>21</v>
      </c>
      <c r="B24" s="912"/>
      <c r="C24" s="912"/>
      <c r="D24" s="912"/>
      <c r="E24" s="912"/>
      <c r="F24" s="913"/>
      <c r="G24" s="323"/>
      <c r="H24" s="329"/>
      <c r="I24" s="317"/>
      <c r="J24" s="330"/>
    </row>
    <row r="25" spans="1:10" ht="45" hidden="1" customHeight="1" x14ac:dyDescent="0.3">
      <c r="A25" s="911" t="s">
        <v>22</v>
      </c>
      <c r="B25" s="912"/>
      <c r="C25" s="912"/>
      <c r="D25" s="912"/>
      <c r="E25" s="912"/>
      <c r="F25" s="913"/>
      <c r="G25" s="323"/>
      <c r="H25" s="329"/>
      <c r="I25" s="317"/>
      <c r="J25" s="330"/>
    </row>
    <row r="26" spans="1:10" ht="45" hidden="1" customHeight="1" x14ac:dyDescent="0.3">
      <c r="A26" s="922" t="s">
        <v>23</v>
      </c>
      <c r="B26" s="923"/>
      <c r="C26" s="923"/>
      <c r="D26" s="923"/>
      <c r="E26" s="923"/>
      <c r="F26" s="924"/>
      <c r="G26" s="323"/>
      <c r="H26" s="329"/>
      <c r="I26" s="317"/>
      <c r="J26" s="330"/>
    </row>
    <row r="27" spans="1:10" ht="45" hidden="1" customHeight="1" x14ac:dyDescent="0.3">
      <c r="A27" s="922" t="s">
        <v>24</v>
      </c>
      <c r="B27" s="923"/>
      <c r="C27" s="923"/>
      <c r="D27" s="923"/>
      <c r="E27" s="923"/>
      <c r="F27" s="924"/>
      <c r="G27" s="323"/>
      <c r="H27" s="329"/>
      <c r="I27" s="317"/>
      <c r="J27" s="330"/>
    </row>
    <row r="28" spans="1:10" ht="45" hidden="1" customHeight="1" x14ac:dyDescent="0.3">
      <c r="A28" s="922" t="s">
        <v>25</v>
      </c>
      <c r="B28" s="923"/>
      <c r="C28" s="923"/>
      <c r="D28" s="923"/>
      <c r="E28" s="923"/>
      <c r="F28" s="924"/>
      <c r="G28" s="323"/>
      <c r="H28" s="329"/>
      <c r="I28" s="317"/>
      <c r="J28" s="330"/>
    </row>
    <row r="29" spans="1:10" ht="45" hidden="1" customHeight="1" x14ac:dyDescent="0.3">
      <c r="A29" s="922" t="s">
        <v>26</v>
      </c>
      <c r="B29" s="923"/>
      <c r="C29" s="923"/>
      <c r="D29" s="923"/>
      <c r="E29" s="923"/>
      <c r="F29" s="924"/>
      <c r="G29" s="323"/>
      <c r="H29" s="329"/>
      <c r="I29" s="317"/>
      <c r="J29" s="330"/>
    </row>
    <row r="30" spans="1:10" ht="45" hidden="1" customHeight="1" x14ac:dyDescent="0.3">
      <c r="A30" s="922" t="s">
        <v>27</v>
      </c>
      <c r="B30" s="923"/>
      <c r="C30" s="923"/>
      <c r="D30" s="923"/>
      <c r="E30" s="923"/>
      <c r="F30" s="924"/>
      <c r="G30" s="323"/>
      <c r="H30" s="329"/>
      <c r="I30" s="317"/>
      <c r="J30" s="330"/>
    </row>
    <row r="31" spans="1:10" ht="45" hidden="1" customHeight="1" x14ac:dyDescent="0.3">
      <c r="A31" s="922" t="s">
        <v>28</v>
      </c>
      <c r="B31" s="923"/>
      <c r="C31" s="923"/>
      <c r="D31" s="923"/>
      <c r="E31" s="923"/>
      <c r="F31" s="924"/>
      <c r="G31" s="323"/>
      <c r="H31" s="329"/>
      <c r="I31" s="317"/>
      <c r="J31" s="330"/>
    </row>
    <row r="32" spans="1:10" ht="45" hidden="1" customHeight="1" x14ac:dyDescent="0.3">
      <c r="A32" s="922"/>
      <c r="B32" s="923"/>
      <c r="C32" s="923"/>
      <c r="D32" s="923"/>
      <c r="E32" s="923"/>
      <c r="F32" s="924"/>
      <c r="G32" s="323"/>
      <c r="H32" s="329"/>
      <c r="I32" s="317"/>
      <c r="J32" s="330"/>
    </row>
    <row r="33" spans="1:10" ht="25.5" customHeight="1" x14ac:dyDescent="0.3">
      <c r="A33" s="929" t="s">
        <v>29</v>
      </c>
      <c r="B33" s="930"/>
      <c r="C33" s="331">
        <f>'Masque de Saisie'!E44</f>
        <v>4005</v>
      </c>
      <c r="D33" s="931" t="s">
        <v>30</v>
      </c>
      <c r="E33" s="931"/>
      <c r="F33" s="931"/>
      <c r="G33" s="931"/>
      <c r="H33" s="931"/>
      <c r="I33" s="931"/>
      <c r="J33" s="425">
        <f>SUM(J13:J32)</f>
        <v>2273.0700000000002</v>
      </c>
    </row>
    <row r="34" spans="1:10" ht="18" customHeight="1" x14ac:dyDescent="0.3">
      <c r="A34" s="1032"/>
      <c r="B34" s="1033"/>
      <c r="C34" s="1033"/>
      <c r="D34" s="1033"/>
      <c r="E34" s="1033"/>
      <c r="F34" s="1033"/>
      <c r="G34" s="1033"/>
      <c r="H34" s="1033"/>
      <c r="I34" s="1033"/>
      <c r="J34" s="1034"/>
    </row>
    <row r="35" spans="1:10" ht="30" customHeight="1" x14ac:dyDescent="0.3">
      <c r="A35" s="1035" t="s">
        <v>298</v>
      </c>
      <c r="B35" s="1036"/>
      <c r="C35" s="366" t="s">
        <v>32</v>
      </c>
      <c r="D35" s="367" t="s">
        <v>33</v>
      </c>
      <c r="E35" s="367" t="s">
        <v>34</v>
      </c>
      <c r="F35" s="366" t="s">
        <v>35</v>
      </c>
      <c r="G35" s="366" t="s">
        <v>36</v>
      </c>
      <c r="H35" s="756"/>
    </row>
    <row r="36" spans="1:10" ht="17.45" customHeight="1" x14ac:dyDescent="0.3">
      <c r="A36" s="1037" t="s">
        <v>37</v>
      </c>
      <c r="B36" s="1038"/>
      <c r="C36" s="1039"/>
      <c r="D36" s="1040"/>
      <c r="E36" s="1040"/>
      <c r="F36" s="1040"/>
      <c r="G36" s="1041"/>
    </row>
    <row r="37" spans="1:10" ht="19.5" customHeight="1" x14ac:dyDescent="0.3">
      <c r="A37" s="947" t="s">
        <v>1035</v>
      </c>
      <c r="B37" s="942"/>
      <c r="C37" s="332">
        <f>J33</f>
        <v>2273.0700000000002</v>
      </c>
      <c r="D37" s="333"/>
      <c r="E37" s="333">
        <f>VLOOKUP(A37,TAUX2023,4,FALSE)</f>
        <v>0.13</v>
      </c>
      <c r="F37" s="334"/>
      <c r="G37" s="827">
        <f>ROUND(C37*E37,2)</f>
        <v>295.5</v>
      </c>
      <c r="H37" s="757" t="s">
        <v>779</v>
      </c>
      <c r="I37" s="757" t="s">
        <v>953</v>
      </c>
      <c r="J37" s="228"/>
    </row>
    <row r="38" spans="1:10" ht="0.75" customHeight="1" x14ac:dyDescent="0.3">
      <c r="A38" s="947"/>
      <c r="B38" s="942"/>
      <c r="C38" s="335"/>
      <c r="D38" s="333"/>
      <c r="E38" s="333"/>
      <c r="F38" s="334"/>
      <c r="G38" s="332"/>
      <c r="J38" s="228"/>
    </row>
    <row r="39" spans="1:10" ht="15" hidden="1" customHeight="1" x14ac:dyDescent="0.3">
      <c r="A39" s="1040"/>
      <c r="B39" s="1041"/>
      <c r="C39" s="332"/>
      <c r="D39" s="336"/>
      <c r="E39" s="336"/>
      <c r="F39" s="334">
        <f t="shared" ref="F39:F71" si="1">ROUND(C39*D39,2)</f>
        <v>0</v>
      </c>
      <c r="G39" s="332">
        <f t="shared" ref="G39:G63" si="2">ROUND(C39*E39,2)</f>
        <v>0</v>
      </c>
      <c r="J39" s="43"/>
    </row>
    <row r="40" spans="1:10" ht="0.75" customHeight="1" x14ac:dyDescent="0.3">
      <c r="A40" s="947" t="s">
        <v>259</v>
      </c>
      <c r="B40" s="942"/>
      <c r="C40" s="332">
        <f>IF(I9=1,J33,0)</f>
        <v>0</v>
      </c>
      <c r="D40" s="333">
        <f>'Masque de Saisie'!G12</f>
        <v>0.01</v>
      </c>
      <c r="E40" s="333">
        <f>'Masque de Saisie'!H12</f>
        <v>0.02</v>
      </c>
      <c r="F40" s="334">
        <f t="shared" si="1"/>
        <v>0</v>
      </c>
      <c r="G40" s="332">
        <f t="shared" si="2"/>
        <v>0</v>
      </c>
      <c r="J40" s="43"/>
    </row>
    <row r="41" spans="1:10" ht="21.75" hidden="1" customHeight="1" x14ac:dyDescent="0.3">
      <c r="A41" s="990"/>
      <c r="B41" s="990"/>
      <c r="C41" s="332"/>
      <c r="D41" s="333"/>
      <c r="E41" s="333"/>
      <c r="F41" s="334">
        <f t="shared" si="1"/>
        <v>0</v>
      </c>
      <c r="G41" s="332">
        <f t="shared" si="2"/>
        <v>0</v>
      </c>
      <c r="J41" s="43"/>
    </row>
    <row r="42" spans="1:10" ht="21.75" hidden="1" customHeight="1" x14ac:dyDescent="0.3">
      <c r="A42" s="990"/>
      <c r="B42" s="990"/>
      <c r="C42" s="336"/>
      <c r="D42" s="336"/>
      <c r="E42" s="336"/>
      <c r="F42" s="334">
        <f t="shared" si="1"/>
        <v>0</v>
      </c>
      <c r="G42" s="332">
        <f t="shared" si="2"/>
        <v>0</v>
      </c>
      <c r="J42" s="43"/>
    </row>
    <row r="43" spans="1:10" ht="19.899999999999999" customHeight="1" x14ac:dyDescent="0.3">
      <c r="A43" s="947" t="s">
        <v>203</v>
      </c>
      <c r="B43" s="942"/>
      <c r="C43" s="332">
        <f>IF(I9=2,J33,0)</f>
        <v>2273.0700000000002</v>
      </c>
      <c r="D43" s="333">
        <f>'Masque de Saisie'!G15</f>
        <v>0.01</v>
      </c>
      <c r="E43" s="333">
        <f>'Masque de Saisie'!H15</f>
        <v>0.02</v>
      </c>
      <c r="F43" s="334">
        <f t="shared" si="1"/>
        <v>22.73</v>
      </c>
      <c r="G43" s="332">
        <f t="shared" si="2"/>
        <v>45.46</v>
      </c>
      <c r="J43" s="43"/>
    </row>
    <row r="44" spans="1:10" ht="21.75" hidden="1" customHeight="1" x14ac:dyDescent="0.3">
      <c r="A44" s="935" t="s">
        <v>209</v>
      </c>
      <c r="B44" s="935"/>
      <c r="C44" s="332">
        <f>IF(I9=2,IF(E76=0,IF(J33&gt;C33,C33,J33),0),0)</f>
        <v>0</v>
      </c>
      <c r="D44" s="333"/>
      <c r="E44" s="333">
        <f>VLOOKUP(A44,TAUX2023,4,FALSE)</f>
        <v>1.4999999999999999E-2</v>
      </c>
      <c r="F44" s="346">
        <f>ROUND(C44*D44,2)</f>
        <v>0</v>
      </c>
      <c r="G44" s="213">
        <f>ROUND(C44*E44,2)</f>
        <v>0</v>
      </c>
      <c r="J44" s="43"/>
    </row>
    <row r="45" spans="1:10" ht="21.75" hidden="1" customHeight="1" x14ac:dyDescent="0.3">
      <c r="A45" s="990" t="s">
        <v>210</v>
      </c>
      <c r="B45" s="990"/>
      <c r="C45" s="337"/>
      <c r="D45" s="333">
        <f>VLOOKUP(A45,TAUX2023,3,FALSE)</f>
        <v>0</v>
      </c>
      <c r="E45" s="333">
        <f>VLOOKUP(A45,TAUX2023,4,FALSE)</f>
        <v>0</v>
      </c>
      <c r="F45" s="334">
        <f t="shared" si="1"/>
        <v>0</v>
      </c>
      <c r="G45" s="332">
        <f t="shared" si="2"/>
        <v>0</v>
      </c>
      <c r="J45" s="43"/>
    </row>
    <row r="46" spans="1:10" ht="21.75" hidden="1" customHeight="1" x14ac:dyDescent="0.3">
      <c r="A46" s="990" t="s">
        <v>211</v>
      </c>
      <c r="B46" s="990"/>
      <c r="C46" s="332"/>
      <c r="D46" s="333">
        <f>VLOOKUP(A46,TAUX2023,3,FALSE)</f>
        <v>0</v>
      </c>
      <c r="E46" s="333">
        <f>VLOOKUP(A46,TAUX2023,4,FALSE)</f>
        <v>0</v>
      </c>
      <c r="F46" s="334">
        <f t="shared" si="1"/>
        <v>0</v>
      </c>
      <c r="G46" s="332">
        <f t="shared" si="2"/>
        <v>0</v>
      </c>
      <c r="J46" s="43"/>
    </row>
    <row r="47" spans="1:10" ht="21.75" hidden="1" customHeight="1" x14ac:dyDescent="0.3">
      <c r="A47" s="991"/>
      <c r="B47" s="991"/>
      <c r="C47" s="332"/>
      <c r="D47" s="333"/>
      <c r="E47" s="333"/>
      <c r="F47" s="334">
        <f t="shared" si="1"/>
        <v>0</v>
      </c>
      <c r="G47" s="332">
        <f t="shared" si="2"/>
        <v>0</v>
      </c>
      <c r="J47" s="43"/>
    </row>
    <row r="48" spans="1:10" ht="21.75" hidden="1" customHeight="1" x14ac:dyDescent="0.3">
      <c r="A48" s="59"/>
      <c r="B48" s="59"/>
      <c r="C48" s="332"/>
      <c r="D48" s="336"/>
      <c r="E48" s="336"/>
      <c r="F48" s="334">
        <f t="shared" si="1"/>
        <v>0</v>
      </c>
      <c r="G48" s="332">
        <f t="shared" si="2"/>
        <v>0</v>
      </c>
      <c r="J48" s="43"/>
    </row>
    <row r="49" spans="1:17" ht="21.6" customHeight="1" x14ac:dyDescent="0.3">
      <c r="A49" s="1015" t="s">
        <v>38</v>
      </c>
      <c r="B49" s="1016"/>
      <c r="C49" s="338">
        <f>J33</f>
        <v>2273.0700000000002</v>
      </c>
      <c r="D49" s="333"/>
      <c r="E49" s="333">
        <f>'Masque de Saisie'!H21</f>
        <v>1.2999999999999999E-2</v>
      </c>
      <c r="F49" s="334"/>
      <c r="G49" s="827">
        <f t="shared" si="2"/>
        <v>29.55</v>
      </c>
      <c r="H49" s="757" t="s">
        <v>987</v>
      </c>
      <c r="J49" s="43"/>
      <c r="L49" s="1014"/>
    </row>
    <row r="50" spans="1:17" ht="19.899999999999999" customHeight="1" x14ac:dyDescent="0.3">
      <c r="A50" s="1015" t="s">
        <v>39</v>
      </c>
      <c r="B50" s="1016"/>
      <c r="C50" s="339"/>
      <c r="D50" s="333"/>
      <c r="E50" s="333"/>
      <c r="F50" s="334"/>
      <c r="G50" s="332"/>
      <c r="L50" s="1014"/>
    </row>
    <row r="51" spans="1:17" ht="18.75" customHeight="1" x14ac:dyDescent="0.3">
      <c r="A51" s="996" t="s">
        <v>40</v>
      </c>
      <c r="B51" s="947"/>
      <c r="C51" s="332">
        <f>IF(J33&gt;C33,C33,J33)</f>
        <v>2273.0700000000002</v>
      </c>
      <c r="D51" s="333">
        <f>VLOOKUP(A51,TAUX2023,3,FALSE)</f>
        <v>6.9000000000000006E-2</v>
      </c>
      <c r="E51" s="333">
        <f>VLOOKUP(A51,TAUX2023,4,FALSE)</f>
        <v>8.5500000000000007E-2</v>
      </c>
      <c r="F51" s="828">
        <f t="shared" si="1"/>
        <v>156.84</v>
      </c>
      <c r="G51" s="827">
        <f t="shared" si="2"/>
        <v>194.35</v>
      </c>
      <c r="H51" s="757" t="s">
        <v>10</v>
      </c>
      <c r="I51" s="757" t="s">
        <v>954</v>
      </c>
    </row>
    <row r="52" spans="1:17" ht="18" customHeight="1" x14ac:dyDescent="0.3">
      <c r="A52" s="996" t="s">
        <v>41</v>
      </c>
      <c r="B52" s="947"/>
      <c r="C52" s="332">
        <f>J33</f>
        <v>2273.0700000000002</v>
      </c>
      <c r="D52" s="333">
        <f>VLOOKUP(A52,TAUX2023,3,FALSE)</f>
        <v>4.0000000000000001E-3</v>
      </c>
      <c r="E52" s="333">
        <f>VLOOKUP(A52,TAUX2023,4,FALSE)</f>
        <v>2.1100000000000001E-2</v>
      </c>
      <c r="F52" s="828">
        <f t="shared" si="1"/>
        <v>9.09</v>
      </c>
      <c r="G52" s="827">
        <f t="shared" si="2"/>
        <v>47.96</v>
      </c>
      <c r="H52" s="757" t="s">
        <v>10</v>
      </c>
      <c r="I52" s="757" t="s">
        <v>955</v>
      </c>
    </row>
    <row r="53" spans="1:17" ht="24" customHeight="1" x14ac:dyDescent="0.3">
      <c r="A53" s="996" t="s">
        <v>42</v>
      </c>
      <c r="B53" s="947"/>
      <c r="C53" s="332">
        <f>IF(J33&gt;C33,C33,J33)</f>
        <v>2273.0700000000002</v>
      </c>
      <c r="D53" s="340">
        <f>IF(J33&gt;C33,'TABLE DES TAUX 2026 '!D73,'TABLE DES TAUX 2026 '!B73)</f>
        <v>4.0099999999999997E-2</v>
      </c>
      <c r="E53" s="340">
        <f>IF(J33&gt;C33,'TABLE DES TAUX 2026 '!E73,'TABLE DES TAUX 2026 '!C73)</f>
        <v>6.0100000000000001E-2</v>
      </c>
      <c r="F53" s="334">
        <f t="shared" si="1"/>
        <v>91.15</v>
      </c>
      <c r="G53" s="332">
        <f t="shared" si="2"/>
        <v>136.61000000000001</v>
      </c>
      <c r="H53" s="758"/>
      <c r="I53" s="759"/>
      <c r="J53" s="231"/>
      <c r="K53" s="231"/>
      <c r="M53" s="1021"/>
      <c r="N53" s="1021"/>
      <c r="O53" s="1021"/>
    </row>
    <row r="54" spans="1:17" ht="24" customHeight="1" x14ac:dyDescent="0.3">
      <c r="A54" s="996" t="s">
        <v>43</v>
      </c>
      <c r="B54" s="947"/>
      <c r="C54" s="341">
        <f>IF(J33&gt;C33,IF(J33&gt;8*C33,7*C33,J33-C33),0)</f>
        <v>0</v>
      </c>
      <c r="D54" s="340">
        <f>IF(J33&gt;C33,'TABLE DES TAUX 2026 '!D79,0)</f>
        <v>0</v>
      </c>
      <c r="E54" s="342">
        <f>IF(J33&gt;C33,'TABLE DES TAUX 2026 '!E79,0)</f>
        <v>0</v>
      </c>
      <c r="F54" s="334">
        <f t="shared" si="1"/>
        <v>0</v>
      </c>
      <c r="G54" s="332">
        <f t="shared" si="2"/>
        <v>0</v>
      </c>
      <c r="H54" s="758"/>
      <c r="I54" s="759"/>
      <c r="J54" s="231"/>
      <c r="K54" s="231"/>
      <c r="M54" s="1022"/>
      <c r="N54" s="1022"/>
      <c r="O54" s="233"/>
      <c r="P54" s="234"/>
      <c r="Q54" s="233"/>
    </row>
    <row r="55" spans="1:17" ht="24" hidden="1" customHeight="1" x14ac:dyDescent="0.3">
      <c r="A55" s="1029"/>
      <c r="B55" s="1030"/>
      <c r="C55" s="332"/>
      <c r="D55" s="342"/>
      <c r="E55" s="342">
        <f>IF(I33&gt;B32,'TABLE DES TAUX 2026 '!E78,0)</f>
        <v>0</v>
      </c>
      <c r="F55" s="334">
        <f t="shared" si="1"/>
        <v>0</v>
      </c>
      <c r="G55" s="332">
        <f t="shared" si="2"/>
        <v>0</v>
      </c>
      <c r="H55" s="758"/>
      <c r="I55" s="759"/>
      <c r="J55" s="231"/>
      <c r="K55" s="231"/>
      <c r="M55" s="232"/>
      <c r="N55" s="232"/>
      <c r="O55" s="233"/>
      <c r="P55" s="234"/>
      <c r="Q55" s="233"/>
    </row>
    <row r="56" spans="1:17" ht="24" hidden="1" customHeight="1" x14ac:dyDescent="0.3">
      <c r="A56" s="1029"/>
      <c r="B56" s="1030"/>
      <c r="C56" s="332"/>
      <c r="D56" s="342"/>
      <c r="E56" s="342">
        <f>IF(I34&gt;B33,'TABLE DES TAUX 2026 '!E79,0)</f>
        <v>0</v>
      </c>
      <c r="F56" s="334">
        <f t="shared" si="1"/>
        <v>0</v>
      </c>
      <c r="G56" s="332">
        <f t="shared" si="2"/>
        <v>0</v>
      </c>
      <c r="H56" s="758"/>
      <c r="I56" s="759"/>
      <c r="J56" s="231"/>
      <c r="K56" s="231"/>
      <c r="M56" s="232"/>
      <c r="N56" s="232"/>
      <c r="O56" s="233"/>
      <c r="P56" s="234"/>
      <c r="Q56" s="233"/>
    </row>
    <row r="57" spans="1:17" ht="24" customHeight="1" x14ac:dyDescent="0.3">
      <c r="A57" s="994" t="s">
        <v>44</v>
      </c>
      <c r="B57" s="995"/>
      <c r="C57" s="332"/>
      <c r="D57" s="333"/>
      <c r="E57" s="342"/>
      <c r="F57" s="334"/>
      <c r="G57" s="332"/>
      <c r="H57" s="758"/>
      <c r="I57" s="1031"/>
      <c r="J57" s="1031"/>
      <c r="M57" s="1020"/>
      <c r="N57" s="1020"/>
      <c r="P57" s="236"/>
      <c r="Q57" s="228"/>
    </row>
    <row r="58" spans="1:17" ht="18.600000000000001" customHeight="1" x14ac:dyDescent="0.3">
      <c r="A58" s="996" t="s">
        <v>1056</v>
      </c>
      <c r="B58" s="947"/>
      <c r="C58" s="332">
        <f>J33</f>
        <v>2273.0700000000002</v>
      </c>
      <c r="D58" s="333"/>
      <c r="E58" s="306">
        <f>VLOOKUP(A58,TAUX2023,4,FALSE)</f>
        <v>5.2499999999999998E-2</v>
      </c>
      <c r="F58" s="334"/>
      <c r="G58" s="827">
        <f t="shared" si="2"/>
        <v>119.34</v>
      </c>
      <c r="H58" s="758" t="s">
        <v>10</v>
      </c>
      <c r="I58" s="760" t="s">
        <v>953</v>
      </c>
      <c r="J58" s="268"/>
      <c r="M58" s="235"/>
      <c r="N58" s="235"/>
      <c r="P58" s="236"/>
      <c r="Q58" s="228"/>
    </row>
    <row r="59" spans="1:17" ht="18.600000000000001" customHeight="1" x14ac:dyDescent="0.3">
      <c r="A59" s="996"/>
      <c r="B59" s="947"/>
      <c r="C59" s="332"/>
      <c r="D59" s="333"/>
      <c r="E59" s="306"/>
      <c r="F59" s="334"/>
      <c r="G59" s="332"/>
      <c r="H59" s="758"/>
      <c r="I59" s="44"/>
      <c r="J59" s="268"/>
      <c r="M59" s="235"/>
      <c r="N59" s="235"/>
      <c r="P59" s="236"/>
      <c r="Q59" s="228"/>
    </row>
    <row r="60" spans="1:17" ht="18.600000000000001" customHeight="1" x14ac:dyDescent="0.3">
      <c r="A60" s="994" t="s">
        <v>45</v>
      </c>
      <c r="B60" s="995"/>
      <c r="C60" s="336"/>
      <c r="D60" s="343"/>
      <c r="E60" s="342"/>
      <c r="F60" s="334"/>
      <c r="G60" s="332"/>
      <c r="H60" s="761"/>
      <c r="I60" s="44"/>
      <c r="J60" s="268"/>
      <c r="M60" s="1020"/>
      <c r="N60" s="1020"/>
      <c r="O60" s="237"/>
      <c r="Q60" s="25">
        <f>'[3]TABLE DES TAUX 2019'!C12+'[3]TABLE DES TAUX 2019'!C14+'[3]TABLE DES TAUX 2019'!C35+'[3]TABLE DES TAUX 2019'!C37</f>
        <v>1.546</v>
      </c>
    </row>
    <row r="61" spans="1:17" ht="18" customHeight="1" x14ac:dyDescent="0.3">
      <c r="A61" s="996" t="s">
        <v>249</v>
      </c>
      <c r="B61" s="947"/>
      <c r="C61" s="337">
        <f>IF(J33&gt;C33,IF(J33&gt;4*C33,4*C33,J33),J33)</f>
        <v>2273.0700000000002</v>
      </c>
      <c r="D61" s="342"/>
      <c r="E61" s="771">
        <f>'TABLE DES TAUX 2026 '!D13+'TABLE DES TAUX 2026 '!D14</f>
        <v>4.2500000000000003E-2</v>
      </c>
      <c r="F61" s="334"/>
      <c r="G61" s="827">
        <f t="shared" si="2"/>
        <v>96.61</v>
      </c>
      <c r="H61" s="761" t="s">
        <v>779</v>
      </c>
      <c r="I61" s="44" t="s">
        <v>956</v>
      </c>
      <c r="J61" s="268"/>
      <c r="M61" s="235"/>
      <c r="N61" s="235"/>
      <c r="O61" s="237"/>
    </row>
    <row r="62" spans="1:17" ht="3" hidden="1" customHeight="1" x14ac:dyDescent="0.3">
      <c r="A62" s="996"/>
      <c r="B62" s="947"/>
      <c r="C62" s="337"/>
      <c r="D62" s="342"/>
      <c r="E62" s="344"/>
      <c r="F62" s="334">
        <f t="shared" si="1"/>
        <v>0</v>
      </c>
      <c r="G62" s="332">
        <f t="shared" si="2"/>
        <v>0</v>
      </c>
      <c r="H62" s="761"/>
      <c r="I62" s="44"/>
      <c r="J62" s="268"/>
      <c r="M62" s="235"/>
      <c r="N62" s="235"/>
      <c r="O62" s="237"/>
    </row>
    <row r="63" spans="1:17" ht="19.899999999999999" customHeight="1" x14ac:dyDescent="0.3">
      <c r="A63" s="996" t="s">
        <v>288</v>
      </c>
      <c r="B63" s="947"/>
      <c r="C63" s="337">
        <f>IF(I9=2,C61,0)</f>
        <v>2273.0700000000002</v>
      </c>
      <c r="D63" s="345">
        <f>VLOOKUP(A63,TAUX2023,3,FALSE)</f>
        <v>2.4000000000000001E-4</v>
      </c>
      <c r="E63" s="345">
        <f>VLOOKUP(A63,TAUX2023,4,FALSE)</f>
        <v>3.6000000000000002E-4</v>
      </c>
      <c r="F63" s="334">
        <f t="shared" si="1"/>
        <v>0.55000000000000004</v>
      </c>
      <c r="G63" s="332">
        <f t="shared" si="2"/>
        <v>0.82</v>
      </c>
      <c r="H63" s="761"/>
      <c r="J63" s="43"/>
      <c r="M63" s="235"/>
      <c r="N63" s="235"/>
      <c r="O63" s="237"/>
    </row>
    <row r="64" spans="1:17" ht="26.25" customHeight="1" x14ac:dyDescent="0.3">
      <c r="A64" s="994" t="s">
        <v>46</v>
      </c>
      <c r="B64" s="995"/>
      <c r="C64" s="332"/>
      <c r="D64" s="332"/>
      <c r="E64" s="346"/>
      <c r="F64" s="334"/>
      <c r="G64" s="827">
        <f>E135</f>
        <v>68.55</v>
      </c>
      <c r="M64" s="1020"/>
      <c r="N64" s="1020"/>
      <c r="O64" s="230"/>
    </row>
    <row r="65" spans="1:11" ht="34.5" hidden="1" customHeight="1" x14ac:dyDescent="0.3">
      <c r="A65" s="1023" t="s">
        <v>48</v>
      </c>
      <c r="B65" s="1024"/>
      <c r="C65" s="347"/>
      <c r="D65" s="348"/>
      <c r="E65" s="349"/>
      <c r="F65" s="334"/>
      <c r="G65" s="332"/>
      <c r="I65" s="44"/>
      <c r="J65" s="268"/>
    </row>
    <row r="66" spans="1:11" ht="22.5" customHeight="1" x14ac:dyDescent="0.3">
      <c r="A66" s="993" t="s">
        <v>49</v>
      </c>
      <c r="B66" s="993"/>
      <c r="C66" s="341">
        <f>'HEURES SUPPLEMENTAIRES '!F136</f>
        <v>2154.17</v>
      </c>
      <c r="D66" s="350">
        <f>VLOOKUP(A66,TAUX2023,3,FALSE)</f>
        <v>6.8000000000000005E-2</v>
      </c>
      <c r="E66" s="332"/>
      <c r="F66" s="828">
        <f t="shared" si="1"/>
        <v>146.47999999999999</v>
      </c>
      <c r="G66" s="332"/>
      <c r="H66" s="757" t="s">
        <v>10</v>
      </c>
      <c r="I66" s="44" t="s">
        <v>957</v>
      </c>
      <c r="J66" s="268"/>
    </row>
    <row r="67" spans="1:11" ht="22.5" customHeight="1" x14ac:dyDescent="0.3">
      <c r="A67" s="993" t="s">
        <v>50</v>
      </c>
      <c r="B67" s="993"/>
      <c r="C67" s="341">
        <f>C66</f>
        <v>2154.17</v>
      </c>
      <c r="D67" s="350">
        <f>VLOOKUP(A67,TAUX2023,3,FALSE)</f>
        <v>2.9000000000000001E-2</v>
      </c>
      <c r="E67" s="332"/>
      <c r="F67" s="828">
        <f t="shared" si="1"/>
        <v>62.47</v>
      </c>
      <c r="G67" s="332"/>
      <c r="H67" s="757" t="s">
        <v>10</v>
      </c>
      <c r="I67" s="44" t="s">
        <v>958</v>
      </c>
      <c r="J67" s="268"/>
      <c r="K67" s="228"/>
    </row>
    <row r="68" spans="1:11" ht="22.5" customHeight="1" x14ac:dyDescent="0.3">
      <c r="A68" s="993" t="s">
        <v>252</v>
      </c>
      <c r="B68" s="993"/>
      <c r="C68" s="341">
        <f>'HEURES SUPPLEMENTAIRES '!F137</f>
        <v>170.04127500000001</v>
      </c>
      <c r="D68" s="350">
        <f>D66</f>
        <v>6.8000000000000005E-2</v>
      </c>
      <c r="E68" s="332"/>
      <c r="F68" s="828">
        <f t="shared" si="1"/>
        <v>11.56</v>
      </c>
      <c r="G68" s="332"/>
      <c r="H68" s="757" t="s">
        <v>10</v>
      </c>
      <c r="J68" s="228"/>
      <c r="K68" s="228"/>
    </row>
    <row r="69" spans="1:11" ht="21" hidden="1" customHeight="1" x14ac:dyDescent="0.3">
      <c r="A69" s="993" t="s">
        <v>253</v>
      </c>
      <c r="B69" s="993"/>
      <c r="C69" s="341">
        <f>'HEURES SUPPLEMENTAIRES '!F138</f>
        <v>0</v>
      </c>
      <c r="D69" s="350">
        <f>D66</f>
        <v>6.8000000000000005E-2</v>
      </c>
      <c r="E69" s="332"/>
      <c r="F69" s="828">
        <f t="shared" si="1"/>
        <v>0</v>
      </c>
      <c r="G69" s="332"/>
      <c r="H69" s="757" t="s">
        <v>10</v>
      </c>
      <c r="J69" s="228"/>
      <c r="K69" s="228"/>
    </row>
    <row r="70" spans="1:11" ht="27.6" customHeight="1" x14ac:dyDescent="0.3">
      <c r="A70" s="993" t="s">
        <v>254</v>
      </c>
      <c r="B70" s="993"/>
      <c r="C70" s="332">
        <f>+C68+C69</f>
        <v>170.04127500000001</v>
      </c>
      <c r="D70" s="350">
        <f>D67</f>
        <v>2.9000000000000001E-2</v>
      </c>
      <c r="E70" s="332"/>
      <c r="F70" s="828">
        <f t="shared" si="1"/>
        <v>4.93</v>
      </c>
      <c r="G70" s="332"/>
      <c r="H70" s="757" t="s">
        <v>10</v>
      </c>
      <c r="J70" s="228"/>
      <c r="K70" s="228"/>
    </row>
    <row r="71" spans="1:11" ht="25.15" customHeight="1" x14ac:dyDescent="0.3">
      <c r="A71" s="994" t="s">
        <v>291</v>
      </c>
      <c r="B71" s="995"/>
      <c r="C71" s="351"/>
      <c r="D71" s="351"/>
      <c r="E71" s="352"/>
      <c r="F71" s="334">
        <f t="shared" si="1"/>
        <v>0</v>
      </c>
      <c r="G71" s="307">
        <f>-'RGDU Format Juillet '!$C$45-'HEURES SUPPLEMENTAIRES '!A147</f>
        <v>-609.86</v>
      </c>
      <c r="J71" s="228"/>
      <c r="K71" s="228"/>
    </row>
    <row r="72" spans="1:11" ht="25.15" customHeight="1" x14ac:dyDescent="0.3">
      <c r="A72" s="996" t="s">
        <v>54</v>
      </c>
      <c r="B72" s="947"/>
      <c r="C72" s="332">
        <f>'HEURES SUPPLEMENTAIRES '!E57</f>
        <v>173.07</v>
      </c>
      <c r="D72" s="353">
        <f>+'HEURES SUPPLEMENTAIRES '!D57</f>
        <v>0.11310000000000001</v>
      </c>
      <c r="E72" s="354"/>
      <c r="F72" s="334">
        <f>-ROUND(C72*D72,2)</f>
        <v>-19.57</v>
      </c>
      <c r="G72" s="355"/>
      <c r="H72" s="757" t="s">
        <v>952</v>
      </c>
      <c r="J72" s="228"/>
      <c r="K72" s="228"/>
    </row>
    <row r="73" spans="1:11" ht="25.15" customHeight="1" x14ac:dyDescent="0.3">
      <c r="A73" s="996" t="s">
        <v>55</v>
      </c>
      <c r="B73" s="947"/>
      <c r="C73" s="332"/>
      <c r="D73" s="332"/>
      <c r="E73" s="346"/>
      <c r="F73" s="356">
        <f>SUM(F37:F72)</f>
        <v>486.23000000000008</v>
      </c>
      <c r="G73" s="357">
        <f>SUM(G37:G72)</f>
        <v>424.89000000000021</v>
      </c>
      <c r="H73" s="757" t="s">
        <v>779</v>
      </c>
      <c r="I73" s="757" t="s">
        <v>959</v>
      </c>
      <c r="J73" s="228"/>
    </row>
    <row r="74" spans="1:11" ht="21" customHeight="1" x14ac:dyDescent="0.3">
      <c r="A74" s="1025" t="s">
        <v>262</v>
      </c>
      <c r="B74" s="1026"/>
      <c r="C74" s="332"/>
      <c r="D74" s="332"/>
      <c r="E74" s="346"/>
      <c r="F74" s="346"/>
      <c r="G74" s="332"/>
      <c r="H74" s="762"/>
      <c r="I74" s="762"/>
    </row>
    <row r="75" spans="1:11" ht="21" customHeight="1" x14ac:dyDescent="0.3">
      <c r="A75" s="947" t="s">
        <v>263</v>
      </c>
      <c r="B75" s="942"/>
      <c r="C75" s="332">
        <f>IF(I9=1,J33,0)</f>
        <v>0</v>
      </c>
      <c r="D75" s="350">
        <f>'Masque de Saisie'!G13</f>
        <v>0</v>
      </c>
      <c r="E75" s="350">
        <f>'Masque de Saisie'!H13</f>
        <v>0.02</v>
      </c>
      <c r="F75" s="346">
        <f>ROUND(C75*D75,2)</f>
        <v>0</v>
      </c>
      <c r="G75" s="213">
        <f>ROUND(C75*E75,2)</f>
        <v>0</v>
      </c>
      <c r="I75" s="762"/>
    </row>
    <row r="76" spans="1:11" ht="21" customHeight="1" x14ac:dyDescent="0.3">
      <c r="A76" s="947" t="s">
        <v>264</v>
      </c>
      <c r="B76" s="942"/>
      <c r="C76" s="332">
        <f>IF(I9=2,J33,0)</f>
        <v>2273.0700000000002</v>
      </c>
      <c r="D76" s="350">
        <f>'Masque de Saisie'!G16</f>
        <v>0</v>
      </c>
      <c r="E76" s="350">
        <f>'Masque de Saisie'!H16</f>
        <v>0.02</v>
      </c>
      <c r="F76" s="346">
        <f>ROUND(C76*D76,2)</f>
        <v>0</v>
      </c>
      <c r="G76" s="213">
        <f>ROUND(C76*E76,2)</f>
        <v>45.46</v>
      </c>
      <c r="I76" s="763"/>
      <c r="J76" s="240"/>
      <c r="K76" s="239"/>
    </row>
    <row r="77" spans="1:11" ht="21" customHeight="1" x14ac:dyDescent="0.3">
      <c r="I77" s="763"/>
      <c r="J77" s="240"/>
      <c r="K77" s="239"/>
    </row>
    <row r="78" spans="1:11" ht="21" customHeight="1" x14ac:dyDescent="0.3">
      <c r="A78" s="935" t="s">
        <v>397</v>
      </c>
      <c r="B78" s="935"/>
      <c r="C78" s="332">
        <f>J33</f>
        <v>2273.0700000000002</v>
      </c>
      <c r="D78" s="350">
        <f>'Masque de Saisie'!G17</f>
        <v>0</v>
      </c>
      <c r="E78" s="350"/>
      <c r="F78" s="346">
        <f t="shared" ref="F78" si="3">ROUND(C78*D78,2)</f>
        <v>0</v>
      </c>
      <c r="G78" s="213">
        <f t="shared" ref="G78" si="4">ROUND(C78*E78,2)</f>
        <v>0</v>
      </c>
      <c r="K78" s="228"/>
    </row>
    <row r="79" spans="1:11" ht="21" customHeight="1" x14ac:dyDescent="0.3">
      <c r="A79" s="997" t="s">
        <v>235</v>
      </c>
      <c r="B79" s="998"/>
      <c r="C79" s="336"/>
      <c r="D79" s="343"/>
      <c r="E79" s="343"/>
      <c r="F79" s="358">
        <f>J33-F73-F75-F76+F85</f>
        <v>1786.8400000000001</v>
      </c>
      <c r="G79" s="336"/>
      <c r="K79" s="228"/>
    </row>
    <row r="80" spans="1:11" ht="15.75" customHeight="1" x14ac:dyDescent="0.3">
      <c r="A80" s="947" t="s">
        <v>265</v>
      </c>
      <c r="B80" s="942"/>
      <c r="C80" s="336"/>
      <c r="D80" s="343"/>
      <c r="E80" s="343"/>
      <c r="F80" s="336">
        <f>'Masque de Saisie'!E47*'Masque de Saisie'!E48</f>
        <v>132</v>
      </c>
      <c r="G80" s="336">
        <f>'Masque de Saisie'!E47*'Masque de Saisie'!E49</f>
        <v>132</v>
      </c>
      <c r="K80" s="228"/>
    </row>
    <row r="81" spans="1:12" ht="25.15" customHeight="1" x14ac:dyDescent="0.3">
      <c r="A81" s="947" t="s">
        <v>266</v>
      </c>
      <c r="B81" s="942"/>
      <c r="C81" s="336"/>
      <c r="D81" s="343"/>
      <c r="E81" s="343"/>
      <c r="F81" s="421">
        <f>'Masque de Saisie'!E50</f>
        <v>45.4</v>
      </c>
      <c r="G81" s="347"/>
      <c r="K81" s="228"/>
    </row>
    <row r="82" spans="1:12" ht="25.15" customHeight="1" x14ac:dyDescent="0.3">
      <c r="A82" s="943" t="s">
        <v>289</v>
      </c>
      <c r="B82" s="944"/>
      <c r="C82" s="301"/>
      <c r="D82" s="302"/>
      <c r="E82" s="302"/>
      <c r="F82" s="303"/>
      <c r="G82" s="303"/>
      <c r="K82" s="228"/>
    </row>
    <row r="83" spans="1:12" ht="25.15" customHeight="1" x14ac:dyDescent="0.3">
      <c r="A83" s="943" t="s">
        <v>856</v>
      </c>
      <c r="B83" s="944"/>
      <c r="C83" s="301"/>
      <c r="D83" s="302"/>
      <c r="E83" s="302"/>
      <c r="F83" s="303"/>
      <c r="G83" s="303"/>
      <c r="K83" s="228"/>
    </row>
    <row r="84" spans="1:12" ht="25.15" customHeight="1" x14ac:dyDescent="0.3">
      <c r="A84" s="943" t="s">
        <v>857</v>
      </c>
      <c r="B84" s="944"/>
      <c r="C84" s="301"/>
      <c r="D84" s="302"/>
      <c r="E84" s="302"/>
      <c r="F84" s="303"/>
      <c r="G84" s="303"/>
      <c r="K84" s="228"/>
    </row>
    <row r="85" spans="1:12" ht="25.15" customHeight="1" x14ac:dyDescent="0.3">
      <c r="A85" s="947" t="s">
        <v>460</v>
      </c>
      <c r="B85" s="942"/>
      <c r="C85" s="301"/>
      <c r="D85" s="302"/>
      <c r="E85" s="302"/>
      <c r="F85" s="487"/>
      <c r="G85" s="303"/>
      <c r="K85" s="228"/>
    </row>
    <row r="86" spans="1:12" customFormat="1" ht="25.15" customHeight="1" x14ac:dyDescent="0.25">
      <c r="A86" s="992" t="s">
        <v>71</v>
      </c>
      <c r="B86" s="992"/>
      <c r="C86" s="992"/>
      <c r="D86" s="992"/>
      <c r="E86" s="992"/>
      <c r="F86" s="992"/>
      <c r="G86" s="992"/>
      <c r="H86" s="992"/>
      <c r="I86" s="992"/>
      <c r="J86" s="1027">
        <f>J33-F73-F75-F76-F44-F78-F80+F81-F82+F85-F83-F84</f>
        <v>1700.2400000000002</v>
      </c>
      <c r="K86" s="1028"/>
      <c r="L86" s="1028"/>
    </row>
    <row r="87" spans="1:12" customFormat="1" ht="18" customHeight="1" x14ac:dyDescent="0.25">
      <c r="A87" s="992" t="s">
        <v>236</v>
      </c>
      <c r="B87" s="992"/>
      <c r="C87" s="992"/>
      <c r="D87" s="992"/>
      <c r="E87" s="992"/>
      <c r="F87" s="992"/>
      <c r="G87" s="992"/>
      <c r="H87" s="992"/>
      <c r="I87" s="992"/>
      <c r="J87" s="1027">
        <f>'HEURES SUPPLEMENTAIRES '!E100</f>
        <v>1738.1899999999996</v>
      </c>
      <c r="K87" s="1028"/>
      <c r="L87" s="1028"/>
    </row>
    <row r="88" spans="1:12" customFormat="1" ht="24" customHeight="1" x14ac:dyDescent="0.25">
      <c r="A88" s="1017" t="s">
        <v>237</v>
      </c>
      <c r="B88" s="1017"/>
      <c r="C88" s="1017"/>
      <c r="D88" s="1017"/>
      <c r="E88" s="1017"/>
      <c r="F88" s="1017"/>
      <c r="G88" s="1017"/>
      <c r="H88" s="1017"/>
      <c r="I88" s="1017"/>
      <c r="J88" s="1019">
        <f>'HEURES SUPPLEMENTAIRES '!E57-F68</f>
        <v>161.51</v>
      </c>
      <c r="K88" s="1019"/>
      <c r="L88" s="69"/>
    </row>
    <row r="89" spans="1:12" customFormat="1" ht="24" customHeight="1" x14ac:dyDescent="0.25">
      <c r="A89" s="1017" t="s">
        <v>312</v>
      </c>
      <c r="B89" s="1017"/>
      <c r="C89" s="1017"/>
      <c r="D89" s="1017"/>
      <c r="E89" s="1017"/>
      <c r="F89" s="1017"/>
      <c r="G89" s="1017"/>
      <c r="H89" s="1017"/>
      <c r="I89" s="1017"/>
      <c r="J89" s="491">
        <f>'HEURES SUPPLEMENTAIRES '!G57</f>
        <v>0</v>
      </c>
      <c r="K89" s="492"/>
      <c r="L89" s="493"/>
    </row>
    <row r="90" spans="1:12" customFormat="1" ht="23.25" customHeight="1" x14ac:dyDescent="0.25">
      <c r="A90" s="1004" t="s">
        <v>238</v>
      </c>
      <c r="B90" s="1005"/>
      <c r="C90" s="1006"/>
      <c r="D90" s="976" t="s">
        <v>63</v>
      </c>
      <c r="E90" s="976"/>
      <c r="F90" s="976" t="s">
        <v>73</v>
      </c>
      <c r="G90" s="976"/>
      <c r="H90" s="764" t="s">
        <v>64</v>
      </c>
      <c r="I90" s="765"/>
      <c r="J90" s="1018" t="s">
        <v>311</v>
      </c>
      <c r="K90" s="1018"/>
      <c r="L90" s="59"/>
    </row>
    <row r="91" spans="1:12" customFormat="1" ht="20.25" customHeight="1" x14ac:dyDescent="0.25">
      <c r="A91" s="1007"/>
      <c r="B91" s="1008"/>
      <c r="C91" s="1009"/>
      <c r="D91" s="1010">
        <f>J87</f>
        <v>1738.1899999999996</v>
      </c>
      <c r="E91" s="1011"/>
      <c r="F91" s="1012">
        <f>'TAUX NEUTRE '!H12</f>
        <v>1.2999999999999999E-2</v>
      </c>
      <c r="G91" s="1013"/>
      <c r="H91" s="766">
        <f>ROUND(D91*F91,2)</f>
        <v>22.6</v>
      </c>
      <c r="I91" s="765"/>
      <c r="J91" s="59"/>
      <c r="K91" s="59"/>
      <c r="L91" s="59"/>
    </row>
    <row r="92" spans="1:12" customFormat="1" ht="15" x14ac:dyDescent="0.25">
      <c r="A92" s="1001" t="s">
        <v>290</v>
      </c>
      <c r="B92" s="1001"/>
      <c r="C92" s="1001"/>
      <c r="D92" s="1001"/>
      <c r="E92" s="1001"/>
      <c r="F92" s="1001"/>
      <c r="G92" s="1001"/>
      <c r="H92" s="1001"/>
      <c r="I92" s="1001"/>
      <c r="J92" s="1002">
        <f>J86-H91</f>
        <v>1677.6400000000003</v>
      </c>
      <c r="K92" s="1002"/>
      <c r="L92" s="1002"/>
    </row>
    <row r="93" spans="1:12" customFormat="1" ht="15" x14ac:dyDescent="0.25">
      <c r="A93" s="1001" t="s">
        <v>61</v>
      </c>
      <c r="B93" s="1001"/>
      <c r="C93" s="1001"/>
      <c r="D93" s="1001"/>
      <c r="E93" s="1001"/>
      <c r="F93" s="1001"/>
      <c r="G93" s="1001"/>
      <c r="H93" s="1001"/>
      <c r="I93" s="1001"/>
      <c r="J93" s="1002">
        <f>G73+J33+G75+G76+G44+G78</f>
        <v>2743.4200000000005</v>
      </c>
      <c r="K93" s="1003"/>
      <c r="L93" s="1003"/>
    </row>
    <row r="94" spans="1:12" customFormat="1" ht="15" x14ac:dyDescent="0.25">
      <c r="A94" s="63"/>
      <c r="B94" s="71" t="s">
        <v>70</v>
      </c>
      <c r="C94" s="71" t="s">
        <v>292</v>
      </c>
      <c r="D94" s="999" t="s">
        <v>294</v>
      </c>
      <c r="E94" s="1000"/>
      <c r="F94" s="999" t="s">
        <v>295</v>
      </c>
      <c r="G94" s="1000"/>
      <c r="H94" s="767"/>
      <c r="I94" s="767"/>
      <c r="J94" s="180"/>
      <c r="K94" s="361"/>
      <c r="L94" s="361"/>
    </row>
    <row r="95" spans="1:12" customFormat="1" ht="21" customHeight="1" x14ac:dyDescent="0.25">
      <c r="A95" s="362" t="s">
        <v>293</v>
      </c>
      <c r="B95" s="67">
        <f>H91</f>
        <v>22.6</v>
      </c>
      <c r="C95" s="67"/>
      <c r="D95" s="71" t="s">
        <v>109</v>
      </c>
      <c r="E95" s="67">
        <v>30</v>
      </c>
      <c r="F95" s="71" t="s">
        <v>306</v>
      </c>
      <c r="G95" s="67"/>
      <c r="H95" s="768"/>
      <c r="I95" s="767"/>
      <c r="J95" s="180"/>
      <c r="K95" s="361"/>
      <c r="L95" s="361"/>
    </row>
    <row r="96" spans="1:12" customFormat="1" ht="21" customHeight="1" x14ac:dyDescent="0.25">
      <c r="A96" s="363" t="s">
        <v>297</v>
      </c>
      <c r="B96" s="365">
        <f>C72</f>
        <v>173.07</v>
      </c>
      <c r="C96" s="365"/>
      <c r="D96" s="71" t="s">
        <v>102</v>
      </c>
      <c r="E96" s="67">
        <v>28</v>
      </c>
      <c r="F96" s="71" t="s">
        <v>251</v>
      </c>
      <c r="G96" s="67"/>
      <c r="H96" s="767"/>
      <c r="I96" s="767"/>
      <c r="J96" s="180"/>
      <c r="K96" s="361"/>
      <c r="L96" s="361"/>
    </row>
    <row r="97" spans="1:12" customFormat="1" ht="17.25" customHeight="1" x14ac:dyDescent="0.25">
      <c r="A97" s="364" t="s">
        <v>187</v>
      </c>
      <c r="B97" s="365">
        <f>J33</f>
        <v>2273.0700000000002</v>
      </c>
      <c r="C97" s="365"/>
      <c r="D97" s="71" t="s">
        <v>250</v>
      </c>
      <c r="E97" s="67">
        <v>2</v>
      </c>
      <c r="F97" s="71" t="s">
        <v>250</v>
      </c>
      <c r="G97" s="67"/>
      <c r="H97" s="767"/>
      <c r="I97" s="767"/>
      <c r="J97" s="180"/>
      <c r="K97" s="361"/>
      <c r="L97" s="361"/>
    </row>
    <row r="98" spans="1:12" customFormat="1" ht="17.25" customHeight="1" x14ac:dyDescent="0.25">
      <c r="A98" s="364" t="s">
        <v>65</v>
      </c>
      <c r="B98" s="365">
        <f>+J87</f>
        <v>1738.1899999999996</v>
      </c>
      <c r="C98" s="365"/>
      <c r="D98" s="360"/>
      <c r="E98" s="360"/>
      <c r="F98" s="360"/>
      <c r="G98" s="360"/>
      <c r="H98" s="767"/>
      <c r="I98" s="767"/>
      <c r="J98" s="180"/>
      <c r="K98" s="361"/>
      <c r="L98" s="361"/>
    </row>
    <row r="99" spans="1:12" customFormat="1" ht="15" customHeight="1" x14ac:dyDescent="0.25">
      <c r="A99" s="968" t="s">
        <v>62</v>
      </c>
      <c r="B99" s="968"/>
      <c r="C99" s="968"/>
      <c r="D99" s="968"/>
      <c r="E99" s="968"/>
      <c r="F99" s="24"/>
      <c r="G99" s="24"/>
      <c r="H99" s="44"/>
      <c r="I99" s="44"/>
      <c r="J99" s="24"/>
      <c r="K99" s="24"/>
      <c r="L99" s="24"/>
    </row>
    <row r="100" spans="1:12" s="24" customFormat="1" ht="12" customHeight="1" x14ac:dyDescent="0.25">
      <c r="A100" s="44" t="s">
        <v>66</v>
      </c>
      <c r="H100" s="44"/>
      <c r="I100" s="44"/>
    </row>
    <row r="101" spans="1:12" s="24" customFormat="1" ht="12" customHeight="1" x14ac:dyDescent="0.25">
      <c r="A101" s="24" t="s">
        <v>313</v>
      </c>
      <c r="H101" s="44"/>
      <c r="I101" s="44"/>
    </row>
    <row r="102" spans="1:12" s="24" customFormat="1" ht="10.15" hidden="1" customHeight="1" x14ac:dyDescent="0.25">
      <c r="A102" s="44"/>
      <c r="H102" s="44"/>
      <c r="I102" s="44"/>
    </row>
    <row r="103" spans="1:12" s="24" customFormat="1" ht="39.6" hidden="1" customHeight="1" x14ac:dyDescent="0.3">
      <c r="A103" s="244" t="s">
        <v>98</v>
      </c>
      <c r="B103" s="245"/>
      <c r="C103" s="246">
        <v>7.4999999999999997E-3</v>
      </c>
      <c r="D103" s="238">
        <f>ROUND(J33*C103,2)</f>
        <v>17.05</v>
      </c>
      <c r="E103" s="227"/>
      <c r="F103" s="247"/>
      <c r="G103" s="226"/>
      <c r="H103" s="757"/>
      <c r="I103" s="757"/>
    </row>
    <row r="104" spans="1:12" ht="39.6" hidden="1" customHeight="1" x14ac:dyDescent="0.3">
      <c r="A104" s="244" t="s">
        <v>99</v>
      </c>
      <c r="B104" s="245"/>
      <c r="C104" s="248">
        <f>(2.4-0.95)%</f>
        <v>1.4499999999999999E-2</v>
      </c>
      <c r="D104" s="238">
        <f>ROUND(C61*C104,2)</f>
        <v>32.96</v>
      </c>
      <c r="F104" s="243"/>
    </row>
    <row r="105" spans="1:12" ht="13.9" hidden="1" customHeight="1" x14ac:dyDescent="0.3">
      <c r="A105" s="249" t="s">
        <v>255</v>
      </c>
      <c r="B105" s="245"/>
      <c r="D105" s="227">
        <f>D103+D104</f>
        <v>50.010000000000005</v>
      </c>
      <c r="F105" s="243"/>
    </row>
    <row r="106" spans="1:12" ht="26.45" hidden="1" customHeight="1" x14ac:dyDescent="0.3">
      <c r="A106" s="244" t="s">
        <v>256</v>
      </c>
      <c r="C106" s="227"/>
      <c r="F106" s="250"/>
    </row>
    <row r="107" spans="1:12" ht="13.9" hidden="1" customHeight="1" x14ac:dyDescent="0.3">
      <c r="A107" s="244"/>
      <c r="C107" s="227"/>
      <c r="F107" s="250"/>
    </row>
    <row r="108" spans="1:12" ht="26.45" hidden="1" customHeight="1" x14ac:dyDescent="0.3">
      <c r="A108" s="244" t="s">
        <v>100</v>
      </c>
      <c r="B108" s="251"/>
      <c r="C108" s="238">
        <v>1.7000000000000001E-2</v>
      </c>
      <c r="D108" s="238">
        <f>ROUND(C66*C108,2)</f>
        <v>36.619999999999997</v>
      </c>
      <c r="F108" s="250"/>
    </row>
    <row r="109" spans="1:12" ht="13.9" hidden="1" customHeight="1" x14ac:dyDescent="0.3">
      <c r="A109" s="252"/>
      <c r="B109" s="253"/>
      <c r="C109" s="254"/>
      <c r="D109" s="254"/>
      <c r="E109" s="254"/>
      <c r="F109" s="255"/>
    </row>
    <row r="110" spans="1:12" ht="26.45" hidden="1" customHeight="1" x14ac:dyDescent="0.3">
      <c r="A110" s="256" t="s">
        <v>257</v>
      </c>
      <c r="B110" s="257"/>
      <c r="C110" s="258"/>
      <c r="D110" s="258"/>
      <c r="E110" s="258"/>
      <c r="F110" s="259"/>
    </row>
    <row r="111" spans="1:12" ht="13.9" hidden="1" customHeight="1" x14ac:dyDescent="0.3">
      <c r="A111" s="241"/>
      <c r="B111" s="242"/>
      <c r="C111" s="260"/>
      <c r="F111" s="261"/>
    </row>
    <row r="112" spans="1:12" ht="39.6" hidden="1" customHeight="1" x14ac:dyDescent="0.3">
      <c r="A112" s="244" t="s">
        <v>98</v>
      </c>
      <c r="B112" s="245"/>
      <c r="C112" s="246">
        <v>7.4999999999999997E-3</v>
      </c>
      <c r="D112" s="238">
        <f>ROUND(J33*C112,2)</f>
        <v>17.05</v>
      </c>
      <c r="E112" s="226"/>
      <c r="F112" s="243"/>
    </row>
    <row r="113" spans="1:18" ht="39.6" hidden="1" customHeight="1" x14ac:dyDescent="0.3">
      <c r="A113" s="244" t="s">
        <v>99</v>
      </c>
      <c r="B113" s="245"/>
      <c r="C113" s="248">
        <f>(2.4)%</f>
        <v>2.4E-2</v>
      </c>
      <c r="D113" s="238">
        <f>ROUND(C61*C113,2)</f>
        <v>54.55</v>
      </c>
      <c r="E113" s="262"/>
      <c r="F113" s="243"/>
    </row>
    <row r="114" spans="1:18" ht="13.9" hidden="1" customHeight="1" x14ac:dyDescent="0.3">
      <c r="A114" s="249" t="s">
        <v>258</v>
      </c>
      <c r="B114" s="245"/>
      <c r="E114" s="262"/>
      <c r="F114" s="243"/>
    </row>
    <row r="115" spans="1:18" ht="26.45" hidden="1" customHeight="1" x14ac:dyDescent="0.3">
      <c r="A115" s="244" t="s">
        <v>256</v>
      </c>
      <c r="C115" s="227"/>
      <c r="E115" s="263">
        <f>D113+D112-D117</f>
        <v>34.979999999999997</v>
      </c>
      <c r="F115" s="243"/>
    </row>
    <row r="116" spans="1:18" ht="13.9" hidden="1" customHeight="1" x14ac:dyDescent="0.3">
      <c r="A116" s="244"/>
      <c r="C116" s="227"/>
      <c r="E116" s="262"/>
      <c r="F116" s="243"/>
    </row>
    <row r="117" spans="1:18" ht="26.45" hidden="1" customHeight="1" x14ac:dyDescent="0.3">
      <c r="A117" s="244" t="s">
        <v>100</v>
      </c>
      <c r="B117" s="251"/>
      <c r="C117" s="238">
        <v>1.7000000000000001E-2</v>
      </c>
      <c r="D117" s="238">
        <f>ROUND(C66*C117,2)</f>
        <v>36.619999999999997</v>
      </c>
      <c r="F117" s="243"/>
    </row>
    <row r="118" spans="1:18" ht="13.9" hidden="1" customHeight="1" x14ac:dyDescent="0.3">
      <c r="A118" s="264"/>
      <c r="B118" s="265"/>
      <c r="C118" s="266"/>
      <c r="D118" s="266"/>
      <c r="E118" s="266"/>
      <c r="F118" s="267"/>
    </row>
    <row r="119" spans="1:18" ht="13.9" hidden="1" customHeight="1" x14ac:dyDescent="0.3">
      <c r="B119" s="245"/>
    </row>
    <row r="120" spans="1:18" ht="30.75" customHeight="1" x14ac:dyDescent="0.3">
      <c r="A120" s="26" t="s">
        <v>92</v>
      </c>
    </row>
    <row r="121" spans="1:18" ht="30.75" customHeight="1" x14ac:dyDescent="0.3">
      <c r="A121" s="38" t="s">
        <v>267</v>
      </c>
      <c r="B121" s="304" t="s">
        <v>268</v>
      </c>
      <c r="C121" s="304" t="s">
        <v>229</v>
      </c>
      <c r="D121" s="304" t="s">
        <v>269</v>
      </c>
      <c r="E121" s="304" t="s">
        <v>270</v>
      </c>
      <c r="F121" s="186"/>
      <c r="G121" s="26"/>
      <c r="H121" s="769"/>
      <c r="I121" s="769"/>
    </row>
    <row r="122" spans="1:18" customFormat="1" ht="15.75" x14ac:dyDescent="0.25">
      <c r="A122" s="188"/>
      <c r="B122" s="59"/>
      <c r="C122" s="196" t="s">
        <v>32</v>
      </c>
      <c r="D122" s="196" t="s">
        <v>296</v>
      </c>
      <c r="E122" s="196" t="s">
        <v>103</v>
      </c>
      <c r="H122" s="769"/>
      <c r="I122" s="769"/>
      <c r="J122" s="26"/>
      <c r="K122" s="26"/>
      <c r="L122" s="26"/>
      <c r="M122" s="28"/>
      <c r="N122" s="28"/>
      <c r="O122" s="28"/>
      <c r="P122" s="28"/>
      <c r="Q122" s="28"/>
      <c r="R122" s="28"/>
    </row>
    <row r="123" spans="1:18" customFormat="1" x14ac:dyDescent="0.3">
      <c r="A123" s="229"/>
      <c r="B123" s="229"/>
      <c r="C123" s="226"/>
      <c r="D123" s="227"/>
      <c r="E123" s="45">
        <f t="shared" ref="E123:E129" si="5">ROUND(C123*D123,2)</f>
        <v>0</v>
      </c>
      <c r="H123" s="769"/>
      <c r="I123" s="769"/>
      <c r="J123" s="26"/>
      <c r="K123" s="26"/>
      <c r="L123" s="26"/>
      <c r="M123" s="28"/>
      <c r="N123" s="28"/>
      <c r="O123" s="28"/>
      <c r="P123" s="28"/>
      <c r="Q123" s="28"/>
      <c r="R123" s="28"/>
    </row>
    <row r="124" spans="1:18" customFormat="1" ht="15.75" x14ac:dyDescent="0.25">
      <c r="A124" s="966" t="s">
        <v>95</v>
      </c>
      <c r="B124" s="967"/>
      <c r="C124" s="45">
        <f>IF(B9&lt;50,IF(J33&gt;C33,C33,J33),0)</f>
        <v>2273.0700000000002</v>
      </c>
      <c r="D124" s="52">
        <f>'TABLE DES TAUX 2026 '!D26</f>
        <v>1E-3</v>
      </c>
      <c r="E124" s="829">
        <f t="shared" si="5"/>
        <v>2.27</v>
      </c>
      <c r="F124" t="s">
        <v>779</v>
      </c>
      <c r="G124" s="705" t="s">
        <v>960</v>
      </c>
      <c r="H124" s="769"/>
      <c r="I124" s="769"/>
      <c r="J124" s="26"/>
      <c r="K124" s="26"/>
      <c r="L124" s="26"/>
      <c r="M124" s="28"/>
      <c r="N124" s="28"/>
      <c r="O124" s="28"/>
      <c r="P124" s="28"/>
      <c r="Q124" s="28"/>
      <c r="R124" s="28"/>
    </row>
    <row r="125" spans="1:18" customFormat="1" x14ac:dyDescent="0.3">
      <c r="A125" s="966" t="s">
        <v>96</v>
      </c>
      <c r="B125" s="967"/>
      <c r="C125" s="45">
        <f>IF(B9&gt;=50,J33,0)</f>
        <v>0</v>
      </c>
      <c r="D125" s="52">
        <f>'TABLE DES TAUX 2026 '!D27</f>
        <v>5.0000000000000001E-3</v>
      </c>
      <c r="E125" s="45">
        <f t="shared" si="5"/>
        <v>0</v>
      </c>
      <c r="F125" t="s">
        <v>779</v>
      </c>
      <c r="G125" s="706" t="s">
        <v>961</v>
      </c>
      <c r="H125" s="769"/>
      <c r="I125" s="769"/>
      <c r="J125" s="26"/>
      <c r="K125" s="26"/>
      <c r="L125" s="26"/>
      <c r="M125" s="28"/>
      <c r="N125" s="28"/>
      <c r="O125" s="28"/>
      <c r="P125" s="28"/>
      <c r="Q125" s="28"/>
      <c r="R125" s="28"/>
    </row>
    <row r="126" spans="1:18" customFormat="1" ht="15.75" x14ac:dyDescent="0.25">
      <c r="A126" s="966" t="s">
        <v>287</v>
      </c>
      <c r="B126" s="967"/>
      <c r="C126" s="45">
        <f>IF(B9&gt;=11,J33,0)</f>
        <v>2273.0700000000002</v>
      </c>
      <c r="D126" s="52">
        <f>'Masque de Saisie'!H22</f>
        <v>6.0000000000000001E-3</v>
      </c>
      <c r="E126" s="829">
        <f t="shared" si="5"/>
        <v>13.64</v>
      </c>
      <c r="F126" t="s">
        <v>779</v>
      </c>
      <c r="G126" s="705" t="s">
        <v>962</v>
      </c>
      <c r="H126" s="769"/>
      <c r="I126" s="769"/>
      <c r="J126" s="26"/>
      <c r="K126" s="26"/>
      <c r="L126" s="26"/>
      <c r="M126" s="28"/>
      <c r="N126" s="28"/>
      <c r="O126" s="28"/>
      <c r="P126" s="28"/>
      <c r="Q126" s="28"/>
      <c r="R126" s="28"/>
    </row>
    <row r="127" spans="1:18" customFormat="1" ht="15.75" x14ac:dyDescent="0.25">
      <c r="A127" s="979" t="s">
        <v>78</v>
      </c>
      <c r="B127" s="980"/>
      <c r="C127" s="45">
        <f>J33</f>
        <v>2273.0700000000002</v>
      </c>
      <c r="D127" s="52">
        <f>'TABLE DES TAUX 2026 '!D29</f>
        <v>3.0000000000000001E-3</v>
      </c>
      <c r="E127" s="829">
        <f t="shared" si="5"/>
        <v>6.82</v>
      </c>
      <c r="F127" t="s">
        <v>779</v>
      </c>
      <c r="G127" t="s">
        <v>963</v>
      </c>
      <c r="H127" s="769"/>
      <c r="I127" s="769"/>
      <c r="J127" s="26"/>
      <c r="K127" s="26"/>
      <c r="L127" s="26"/>
      <c r="M127" s="28"/>
      <c r="N127" s="28"/>
      <c r="O127" s="28"/>
      <c r="P127" s="28"/>
      <c r="Q127" s="28"/>
      <c r="R127" s="28"/>
    </row>
    <row r="128" spans="1:18" customFormat="1" ht="15.75" x14ac:dyDescent="0.25">
      <c r="A128" s="966" t="s">
        <v>93</v>
      </c>
      <c r="B128" s="967"/>
      <c r="C128" s="45">
        <f>IF(B9&gt;=11, IF(I9=2,G43+G44+G76,G40+G75),0)</f>
        <v>90.92</v>
      </c>
      <c r="D128" s="52">
        <f>'TABLE DES TAUX 2026 '!D30</f>
        <v>0.08</v>
      </c>
      <c r="E128" s="829">
        <f t="shared" si="5"/>
        <v>7.27</v>
      </c>
      <c r="F128" t="s">
        <v>779</v>
      </c>
      <c r="G128" t="s">
        <v>964</v>
      </c>
      <c r="H128" s="770"/>
      <c r="I128" s="770"/>
      <c r="J128" s="26"/>
      <c r="K128" s="26"/>
      <c r="L128" s="26"/>
      <c r="M128" s="28"/>
      <c r="N128" s="28"/>
      <c r="O128" s="28"/>
      <c r="P128" s="28"/>
      <c r="Q128" s="28"/>
      <c r="R128" s="28"/>
    </row>
    <row r="129" spans="1:18" customFormat="1" ht="17.25" customHeight="1" x14ac:dyDescent="0.25">
      <c r="A129" s="980" t="s">
        <v>231</v>
      </c>
      <c r="B129" s="984"/>
      <c r="C129" s="45">
        <f>G78</f>
        <v>0</v>
      </c>
      <c r="D129" s="52">
        <f>'TABLE DES TAUX 2026 '!D31</f>
        <v>0.2</v>
      </c>
      <c r="E129" s="45">
        <f t="shared" si="5"/>
        <v>0</v>
      </c>
      <c r="F129" t="s">
        <v>779</v>
      </c>
      <c r="G129" t="s">
        <v>965</v>
      </c>
      <c r="H129" s="770"/>
      <c r="I129" s="770"/>
      <c r="J129" s="28"/>
      <c r="K129" s="28"/>
      <c r="L129" s="28"/>
      <c r="M129" s="28"/>
      <c r="N129" s="28"/>
      <c r="O129" s="28"/>
      <c r="P129" s="28"/>
      <c r="Q129" s="28"/>
      <c r="R129" s="28"/>
    </row>
    <row r="130" spans="1:18" customFormat="1" ht="18" customHeight="1" x14ac:dyDescent="0.25">
      <c r="A130" s="979" t="s">
        <v>79</v>
      </c>
      <c r="B130" s="980"/>
      <c r="C130" s="45">
        <f>+J33</f>
        <v>2273.0700000000002</v>
      </c>
      <c r="D130" s="52">
        <f>'TABLE DES TAUX 2026 '!D32</f>
        <v>1.6000000000000001E-4</v>
      </c>
      <c r="E130" s="829">
        <f t="shared" ref="E130:E134" si="6">ROUND(C130*D130,2)</f>
        <v>0.36</v>
      </c>
      <c r="F130" t="s">
        <v>779</v>
      </c>
      <c r="G130" t="s">
        <v>966</v>
      </c>
      <c r="H130" s="770"/>
      <c r="I130" s="770"/>
      <c r="J130" s="28"/>
      <c r="K130" s="28"/>
      <c r="L130" s="28"/>
      <c r="M130" s="28"/>
      <c r="N130" s="28"/>
      <c r="O130" s="28"/>
      <c r="P130" s="28"/>
      <c r="Q130" s="28"/>
      <c r="R130" s="28"/>
    </row>
    <row r="131" spans="1:18" customFormat="1" ht="16.5" customHeight="1" x14ac:dyDescent="0.25">
      <c r="A131" s="979" t="s">
        <v>84</v>
      </c>
      <c r="B131" s="980"/>
      <c r="C131" s="45">
        <f>C130</f>
        <v>2273.0700000000002</v>
      </c>
      <c r="D131" s="52">
        <f>'TABLE DES TAUX 2026 '!D33</f>
        <v>6.7999999999999996E-3</v>
      </c>
      <c r="E131" s="829">
        <f t="shared" si="6"/>
        <v>15.46</v>
      </c>
      <c r="F131" t="s">
        <v>779</v>
      </c>
      <c r="G131" t="s">
        <v>967</v>
      </c>
      <c r="H131" s="770"/>
      <c r="I131" s="770"/>
      <c r="J131" s="28"/>
      <c r="K131" s="28"/>
      <c r="L131" s="28"/>
      <c r="M131" s="28"/>
      <c r="N131" s="28"/>
      <c r="O131" s="28"/>
      <c r="P131" s="28"/>
      <c r="Q131" s="28"/>
      <c r="R131" s="28"/>
    </row>
    <row r="132" spans="1:18" customFormat="1" ht="15.75" x14ac:dyDescent="0.25">
      <c r="A132" s="979" t="s">
        <v>85</v>
      </c>
      <c r="B132" s="980"/>
      <c r="C132" s="45">
        <f>IF(B9&lt;11,0,J33)</f>
        <v>2273.0700000000002</v>
      </c>
      <c r="D132" s="52">
        <f>'TABLE DES TAUX 2026 '!D34</f>
        <v>0.01</v>
      </c>
      <c r="E132" s="829">
        <f t="shared" si="6"/>
        <v>22.73</v>
      </c>
      <c r="F132" t="s">
        <v>779</v>
      </c>
      <c r="G132" t="s">
        <v>968</v>
      </c>
      <c r="H132" s="770"/>
      <c r="I132" s="770"/>
      <c r="J132" s="28"/>
      <c r="K132" s="28"/>
      <c r="L132" s="28"/>
      <c r="M132" s="28"/>
      <c r="N132" s="28"/>
      <c r="O132" s="28"/>
      <c r="P132" s="28"/>
      <c r="Q132" s="28"/>
      <c r="R132" s="28"/>
    </row>
    <row r="133" spans="1:18" customFormat="1" ht="15.75" x14ac:dyDescent="0.25">
      <c r="A133" s="979" t="s">
        <v>85</v>
      </c>
      <c r="B133" s="980"/>
      <c r="C133" s="45">
        <f>IF(B9&gt;=11,0,J33)</f>
        <v>0</v>
      </c>
      <c r="D133" s="52">
        <f>'TABLE DES TAUX 2026 '!D35</f>
        <v>5.4999999999999997E-3</v>
      </c>
      <c r="E133" s="45">
        <f t="shared" si="6"/>
        <v>0</v>
      </c>
      <c r="F133" t="s">
        <v>779</v>
      </c>
      <c r="G133" t="s">
        <v>969</v>
      </c>
      <c r="H133" s="770"/>
      <c r="I133" s="770"/>
      <c r="J133" s="28"/>
      <c r="K133" s="28"/>
      <c r="L133" s="28"/>
      <c r="M133" s="28"/>
      <c r="N133" s="28"/>
      <c r="O133" s="28"/>
      <c r="P133" s="28"/>
      <c r="Q133" s="28"/>
      <c r="R133" s="28"/>
    </row>
    <row r="134" spans="1:18" customFormat="1" ht="15.75" x14ac:dyDescent="0.25">
      <c r="A134" s="979" t="s">
        <v>87</v>
      </c>
      <c r="B134" s="980"/>
      <c r="C134" s="45">
        <f>IF(B9&lt;50,0,J33)</f>
        <v>0</v>
      </c>
      <c r="D134" s="52">
        <f>'TABLE DES TAUX 2026 '!D36</f>
        <v>4.4999999999999997E-3</v>
      </c>
      <c r="E134" s="45">
        <f t="shared" si="6"/>
        <v>0</v>
      </c>
      <c r="H134" s="770"/>
      <c r="I134" s="770"/>
      <c r="J134" s="28"/>
      <c r="K134" s="28"/>
      <c r="L134" s="28"/>
      <c r="M134" s="28"/>
      <c r="N134" s="28"/>
      <c r="O134" s="28"/>
      <c r="P134" s="28"/>
      <c r="Q134" s="28"/>
      <c r="R134" s="28"/>
    </row>
    <row r="135" spans="1:18" customFormat="1" ht="15.75" x14ac:dyDescent="0.25">
      <c r="A135" s="28"/>
      <c r="B135" s="28"/>
      <c r="D135" s="28"/>
      <c r="E135" s="45">
        <f>SUM(E124:E134)</f>
        <v>68.55</v>
      </c>
      <c r="G135" s="28"/>
      <c r="H135" s="770"/>
      <c r="I135" s="770"/>
      <c r="J135" s="28"/>
      <c r="K135" s="28"/>
      <c r="L135" s="28"/>
      <c r="M135" s="28"/>
      <c r="N135" s="28"/>
      <c r="O135" s="28"/>
      <c r="P135" s="28"/>
      <c r="Q135" s="28"/>
      <c r="R135" s="28"/>
    </row>
    <row r="136" spans="1:18" customFormat="1" x14ac:dyDescent="0.3">
      <c r="A136" s="229"/>
      <c r="B136" s="229"/>
      <c r="C136" s="226"/>
      <c r="D136" s="227"/>
      <c r="E136" s="227"/>
      <c r="F136" s="226"/>
      <c r="G136" s="226"/>
      <c r="H136" s="757"/>
      <c r="I136" s="757"/>
      <c r="J136" s="28"/>
      <c r="K136" s="28"/>
      <c r="L136" s="28"/>
      <c r="M136" s="28"/>
      <c r="N136" s="28"/>
      <c r="O136" s="28"/>
      <c r="P136" s="28"/>
      <c r="Q136" s="28"/>
      <c r="R136" s="28"/>
    </row>
  </sheetData>
  <mergeCells count="131">
    <mergeCell ref="G5:J5"/>
    <mergeCell ref="A32:F32"/>
    <mergeCell ref="A129:B129"/>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8:I88"/>
    <mergeCell ref="J90:K90"/>
    <mergeCell ref="J88:K88"/>
    <mergeCell ref="J92:L92"/>
    <mergeCell ref="A89:I89"/>
    <mergeCell ref="M57:N57"/>
    <mergeCell ref="A51:B51"/>
    <mergeCell ref="A52:B52"/>
    <mergeCell ref="A53:B53"/>
    <mergeCell ref="M53:O53"/>
    <mergeCell ref="A54:B54"/>
    <mergeCell ref="M54:N54"/>
    <mergeCell ref="A65:B65"/>
    <mergeCell ref="A66:B66"/>
    <mergeCell ref="A67:B67"/>
    <mergeCell ref="A68:B68"/>
    <mergeCell ref="A73:B73"/>
    <mergeCell ref="A74:B74"/>
    <mergeCell ref="J86:L86"/>
    <mergeCell ref="A87:I87"/>
    <mergeCell ref="J87:L87"/>
    <mergeCell ref="A75:B75"/>
    <mergeCell ref="A80:B80"/>
    <mergeCell ref="A81:B81"/>
    <mergeCell ref="A82:B82"/>
    <mergeCell ref="A78:B78"/>
    <mergeCell ref="A85:B85"/>
    <mergeCell ref="D94:E94"/>
    <mergeCell ref="F94:G94"/>
    <mergeCell ref="A93:I93"/>
    <mergeCell ref="J93:L93"/>
    <mergeCell ref="A90:C91"/>
    <mergeCell ref="D90:E90"/>
    <mergeCell ref="F90:G90"/>
    <mergeCell ref="D91:E91"/>
    <mergeCell ref="F91:G91"/>
    <mergeCell ref="A92:I92"/>
    <mergeCell ref="A83:B83"/>
    <mergeCell ref="A84:B84"/>
    <mergeCell ref="F10:G10"/>
    <mergeCell ref="A134:B134"/>
    <mergeCell ref="A42:B42"/>
    <mergeCell ref="A46:B46"/>
    <mergeCell ref="A47:B47"/>
    <mergeCell ref="A127:B127"/>
    <mergeCell ref="A130:B130"/>
    <mergeCell ref="A131:B131"/>
    <mergeCell ref="A132:B132"/>
    <mergeCell ref="A133:B133"/>
    <mergeCell ref="A99:E99"/>
    <mergeCell ref="A128:B128"/>
    <mergeCell ref="A124:B124"/>
    <mergeCell ref="A125:B125"/>
    <mergeCell ref="A126:B126"/>
    <mergeCell ref="A86:I86"/>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C6C4F65C-929F-47B2-90AD-59A9111B19D9}">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1</vt:i4>
      </vt:variant>
    </vt:vector>
  </HeadingPairs>
  <TitlesOfParts>
    <vt:vector size="22" baseType="lpstr">
      <vt:lpstr>PRESENTATION </vt:lpstr>
      <vt:lpstr>MATRICE IJSS ABSENCE </vt:lpstr>
      <vt:lpstr>INTRODUCTION </vt:lpstr>
      <vt:lpstr>BRC 1</vt:lpstr>
      <vt:lpstr>BRC 2</vt:lpstr>
      <vt:lpstr>Masque de Saisie</vt:lpstr>
      <vt:lpstr>BP VERSION JANVIER 2023</vt:lpstr>
      <vt:lpstr>RGDU Version Janvier </vt:lpstr>
      <vt:lpstr>BP FORMAT JUILLET 2023</vt:lpstr>
      <vt:lpstr>RGDU Format Juillet </vt:lpstr>
      <vt:lpstr>FEUILLE DE CONTROLE </vt:lpstr>
      <vt:lpstr>HEURES SUPPLEMENTAIRES </vt:lpstr>
      <vt:lpstr>COMPTABILISATION 2026</vt:lpstr>
      <vt:lpstr>PRECISIONS </vt:lpstr>
      <vt:lpstr>DISPATCH RGDU 2026 </vt:lpstr>
      <vt:lpstr>DISPATCH ET DSN </vt:lpstr>
      <vt:lpstr>DSN  URSSAF PREP </vt:lpstr>
      <vt:lpstr>TABLE DES TAUX 2026 </vt:lpstr>
      <vt:lpstr>TAUX NEUTRE </vt:lpstr>
      <vt:lpstr>TAUX NEUTRE JANVIER </vt:lpstr>
      <vt:lpstr>TAUX NEUTRE MAI</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2025-04-25T21:29:12Z</cp:lastPrinted>
  <dcterms:created xsi:type="dcterms:W3CDTF">2019-09-02T13:46:41Z</dcterms:created>
  <dcterms:modified xsi:type="dcterms:W3CDTF">2026-01-16T19:39:43Z</dcterms:modified>
</cp:coreProperties>
</file>